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0DC9EEE2-F4B4-4EC6-94A6-34317F8AC275}" xr6:coauthVersionLast="47" xr6:coauthVersionMax="47" xr10:uidLastSave="{00000000-0000-0000-0000-000000000000}"/>
  <bookViews>
    <workbookView xWindow="-120" yWindow="-120" windowWidth="20640" windowHeight="11040" tabRatio="800" xr2:uid="{00000000-000D-0000-FFFF-FFFF00000000}"/>
  </bookViews>
  <sheets>
    <sheet name="HOME" sheetId="13" r:id="rId1"/>
    <sheet name="Memorial" sheetId="18" r:id="rId2"/>
    <sheet name="Cálculos" sheetId="19" state="hidden" r:id="rId3"/>
    <sheet name="Calc. Com." sheetId="3" state="hidden" r:id="rId4"/>
    <sheet name="Calc. Madeira" sheetId="17" state="hidden" r:id="rId5"/>
    <sheet name="Calc. Telheiro" sheetId="15" state="hidden" r:id="rId6"/>
    <sheet name="Calc. Pav." sheetId="5" state="hidden" r:id="rId7"/>
    <sheet name="Calc. Resid." sheetId="2" state="hidden" r:id="rId8"/>
  </sheets>
  <definedNames>
    <definedName name="_xlnm.Print_Area" localSheetId="1">Memorial!$A$1:$G$44</definedName>
    <definedName name="CUB">#REF!</definedName>
    <definedName name="CUB_GI">#REF!</definedName>
    <definedName name="CUB_R1B">#REF!</definedName>
    <definedName name="CUB_RESIDENCIAL">#REF!</definedName>
    <definedName name="URM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9" l="1"/>
  <c r="D35" i="19"/>
  <c r="D29" i="19"/>
  <c r="D28" i="19"/>
  <c r="D27" i="19"/>
  <c r="G30" i="18"/>
  <c r="E30" i="18"/>
  <c r="E3" i="19"/>
  <c r="H8" i="19"/>
  <c r="I8" i="19" s="1"/>
  <c r="J8" i="19" s="1"/>
  <c r="E16" i="19"/>
  <c r="F18" i="19" s="1"/>
  <c r="G18" i="19" s="1"/>
  <c r="C35" i="18"/>
  <c r="C37" i="18"/>
  <c r="I10" i="19" l="1"/>
  <c r="J10" i="19" s="1"/>
  <c r="I11" i="19"/>
  <c r="J11" i="19" s="1"/>
  <c r="I12" i="19"/>
  <c r="J12" i="19" s="1"/>
  <c r="I9" i="19"/>
  <c r="J9" i="19" s="1"/>
  <c r="F6" i="19"/>
  <c r="G6" i="19" s="1"/>
  <c r="F5" i="19"/>
  <c r="G5" i="19" s="1"/>
  <c r="F7" i="19"/>
  <c r="G7" i="19" s="1"/>
  <c r="F3" i="19"/>
  <c r="G3" i="19" s="1"/>
  <c r="F4" i="19"/>
  <c r="G4" i="19" s="1"/>
  <c r="F17" i="19"/>
  <c r="G17" i="19" s="1"/>
  <c r="F16" i="19"/>
  <c r="G16" i="19" s="1"/>
  <c r="J13" i="19" l="1"/>
  <c r="G19" i="19"/>
  <c r="G13" i="19"/>
  <c r="E19" i="5"/>
  <c r="C34" i="18" l="1"/>
  <c r="E13" i="13"/>
  <c r="E25" i="3" l="1"/>
  <c r="E24" i="3"/>
  <c r="E30" i="3"/>
  <c r="E29" i="3"/>
  <c r="E20" i="3"/>
  <c r="E19" i="3"/>
  <c r="X8" i="2"/>
  <c r="V8" i="2"/>
  <c r="T8" i="2"/>
  <c r="R8" i="2"/>
  <c r="P8" i="2"/>
  <c r="N8" i="2"/>
  <c r="L8" i="2"/>
  <c r="J8" i="2"/>
  <c r="H8" i="2"/>
  <c r="G8" i="2"/>
  <c r="E8" i="2"/>
  <c r="C8" i="2"/>
  <c r="A8" i="2"/>
  <c r="E27" i="2" l="1"/>
  <c r="E28" i="2"/>
  <c r="E29" i="2"/>
  <c r="E22" i="19"/>
  <c r="E23" i="2"/>
  <c r="E22" i="2"/>
  <c r="E12" i="2"/>
  <c r="E18" i="2"/>
  <c r="E17" i="2"/>
  <c r="E13" i="2"/>
  <c r="F5" i="18" l="1"/>
  <c r="F40" i="19" l="1"/>
  <c r="F39" i="19"/>
  <c r="D40" i="19"/>
  <c r="D39" i="19"/>
  <c r="F36" i="19"/>
  <c r="G36" i="19" s="1"/>
  <c r="F35" i="19"/>
  <c r="E28" i="17"/>
  <c r="D32" i="19"/>
  <c r="D31" i="19"/>
  <c r="D23" i="19"/>
  <c r="D24" i="19"/>
  <c r="D22" i="19"/>
  <c r="G32" i="18"/>
  <c r="G31" i="18" s="1"/>
  <c r="F32" i="18"/>
  <c r="F30" i="18" l="1"/>
  <c r="F31" i="18"/>
  <c r="G39" i="19"/>
  <c r="G40" i="19"/>
  <c r="G35" i="19"/>
  <c r="F12" i="2" l="1"/>
  <c r="C36" i="18" l="1"/>
  <c r="F29" i="3" l="1"/>
  <c r="F13" i="2"/>
  <c r="E29" i="17"/>
  <c r="F29" i="17" s="1"/>
  <c r="E23" i="17"/>
  <c r="F23" i="17" s="1"/>
  <c r="E24" i="17"/>
  <c r="F24" i="17" s="1"/>
  <c r="E19" i="17"/>
  <c r="F19" i="17" s="1"/>
  <c r="E18" i="17"/>
  <c r="F18" i="17" s="1"/>
  <c r="E14" i="17"/>
  <c r="F14" i="17" s="1"/>
  <c r="E13" i="17"/>
  <c r="F13" i="17" s="1"/>
  <c r="E12" i="17"/>
  <c r="F12" i="17" s="1"/>
  <c r="E11" i="17"/>
  <c r="F11" i="17" s="1"/>
  <c r="C4" i="17"/>
  <c r="D29" i="17"/>
  <c r="D28" i="17"/>
  <c r="F28" i="17" s="1"/>
  <c r="F20" i="17" l="1"/>
  <c r="C2" i="17" s="1"/>
  <c r="F30" i="17"/>
  <c r="C5" i="17" s="1"/>
  <c r="F25" i="17"/>
  <c r="C3" i="17" s="1"/>
  <c r="F15" i="17"/>
  <c r="C1" i="17" s="1"/>
  <c r="E30" i="5"/>
  <c r="F30" i="5" s="1"/>
  <c r="E29" i="5"/>
  <c r="F29" i="5" s="1"/>
  <c r="E20" i="5"/>
  <c r="F20" i="5" s="1"/>
  <c r="F19" i="5"/>
  <c r="C12" i="5"/>
  <c r="C12" i="3"/>
  <c r="F19" i="3"/>
  <c r="F23" i="2"/>
  <c r="E29" i="15"/>
  <c r="F29" i="15" s="1"/>
  <c r="E28" i="15"/>
  <c r="F28" i="15" s="1"/>
  <c r="D28" i="15"/>
  <c r="D29" i="15"/>
  <c r="C4" i="15"/>
  <c r="E24" i="15"/>
  <c r="F24" i="15" s="1"/>
  <c r="E23" i="15"/>
  <c r="F23" i="15" s="1"/>
  <c r="E19" i="15"/>
  <c r="F19" i="15" s="1"/>
  <c r="E18" i="15"/>
  <c r="F18" i="15" s="1"/>
  <c r="E14" i="15"/>
  <c r="F14" i="15" s="1"/>
  <c r="E12" i="15"/>
  <c r="F12" i="15" s="1"/>
  <c r="E13" i="15"/>
  <c r="F13" i="15" s="1"/>
  <c r="E11" i="15"/>
  <c r="F11" i="15" s="1"/>
  <c r="D35" i="5"/>
  <c r="D34" i="5"/>
  <c r="E25" i="5"/>
  <c r="F25" i="5" s="1"/>
  <c r="E24" i="5"/>
  <c r="F24" i="5" s="1"/>
  <c r="C6" i="17" l="1"/>
  <c r="F25" i="15"/>
  <c r="C3" i="15" s="1"/>
  <c r="F30" i="15"/>
  <c r="C5" i="15" s="1"/>
  <c r="F20" i="15"/>
  <c r="C2" i="15" s="1"/>
  <c r="F15" i="15"/>
  <c r="C1" i="15" s="1"/>
  <c r="D36" i="3"/>
  <c r="D35" i="3"/>
  <c r="D34" i="3"/>
  <c r="F30" i="3"/>
  <c r="F25" i="3"/>
  <c r="F24" i="3"/>
  <c r="F20" i="3"/>
  <c r="F18" i="2"/>
  <c r="F17" i="2"/>
  <c r="C6" i="15" l="1"/>
  <c r="F22" i="2"/>
  <c r="D29" i="2" l="1"/>
  <c r="D28" i="2"/>
  <c r="D27" i="2"/>
  <c r="F31" i="5" l="1"/>
  <c r="C11" i="5" s="1"/>
  <c r="F21" i="5"/>
  <c r="C9" i="5" s="1"/>
  <c r="F26" i="5"/>
  <c r="C10" i="5" s="1"/>
  <c r="F26" i="3" l="1"/>
  <c r="C10" i="3" s="1"/>
  <c r="F24" i="2" l="1"/>
  <c r="F14" i="2"/>
  <c r="F31" i="3"/>
  <c r="C11" i="3" s="1"/>
  <c r="F21" i="3"/>
  <c r="C9" i="3" s="1"/>
  <c r="F19" i="2"/>
  <c r="B8" i="5" l="1"/>
  <c r="C8" i="5"/>
  <c r="D8" i="5"/>
  <c r="E8" i="5"/>
  <c r="F8" i="5"/>
  <c r="G8" i="5"/>
  <c r="H8" i="5"/>
  <c r="I8" i="5"/>
  <c r="A8" i="5"/>
  <c r="A8" i="3"/>
  <c r="E8" i="3"/>
  <c r="F8" i="3"/>
  <c r="G8" i="3"/>
  <c r="H8" i="3"/>
  <c r="I8" i="3"/>
  <c r="J8" i="3"/>
  <c r="K8" i="3"/>
  <c r="C8" i="3"/>
  <c r="D8" i="3"/>
  <c r="B8" i="3"/>
  <c r="E36" i="3" l="1"/>
  <c r="F36" i="3" s="1"/>
  <c r="E35" i="3"/>
  <c r="F35" i="3" s="1"/>
  <c r="E34" i="3"/>
  <c r="F34" i="3" s="1"/>
  <c r="E31" i="19"/>
  <c r="E27" i="19"/>
  <c r="E35" i="5"/>
  <c r="E34" i="5"/>
  <c r="F34" i="5" s="1"/>
  <c r="F31" i="19" l="1"/>
  <c r="G31" i="19" s="1"/>
  <c r="F32" i="19"/>
  <c r="G32" i="19" s="1"/>
  <c r="D32" i="18"/>
  <c r="F27" i="19"/>
  <c r="G27" i="19" s="1"/>
  <c r="F29" i="19"/>
  <c r="G29" i="19" s="1"/>
  <c r="F28" i="19"/>
  <c r="G28" i="19" s="1"/>
  <c r="F27" i="2"/>
  <c r="F35" i="5"/>
  <c r="F36" i="5" s="1"/>
  <c r="C13" i="5" s="1"/>
  <c r="F28" i="2"/>
  <c r="F29" i="2"/>
  <c r="F37" i="3"/>
  <c r="C13" i="3" s="1"/>
  <c r="D30" i="18" l="1"/>
  <c r="D31" i="18"/>
  <c r="E32" i="18"/>
  <c r="E31" i="18" s="1"/>
  <c r="C32" i="18"/>
  <c r="F23" i="19"/>
  <c r="G23" i="19" s="1"/>
  <c r="F22" i="19"/>
  <c r="G22" i="19" s="1"/>
  <c r="F24" i="19"/>
  <c r="G24" i="19" s="1"/>
  <c r="C14" i="5"/>
  <c r="C14" i="3"/>
  <c r="F30" i="2"/>
  <c r="C30" i="18" l="1"/>
  <c r="C31" i="18"/>
  <c r="G42" i="19"/>
  <c r="C38" i="18" s="1"/>
  <c r="C39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Kruger</author>
  </authors>
  <commentList>
    <comment ref="F11" authorId="0" shapeId="0" xr:uid="{00000000-0006-0000-0000-000001000000}">
      <text>
        <r>
          <rPr>
            <sz val="8"/>
            <color indexed="81"/>
            <rFont val="Tahoma"/>
            <family val="2"/>
          </rPr>
          <t>* Acesse o site ao lado e clique na opção</t>
        </r>
        <r>
          <rPr>
            <i/>
            <sz val="8"/>
            <color indexed="81"/>
            <rFont val="Tahoma"/>
            <family val="2"/>
          </rPr>
          <t xml:space="preserve"> Série Histórica - Valor. </t>
        </r>
        <r>
          <rPr>
            <sz val="8"/>
            <color indexed="81"/>
            <rFont val="Tahoma"/>
            <family val="2"/>
          </rPr>
          <t>Verifique os valores e preencha os campos correspondentes</t>
        </r>
      </text>
    </comment>
    <comment ref="F13" authorId="0" shapeId="0" xr:uid="{00000000-0006-0000-0000-000002000000}">
      <text>
        <r>
          <rPr>
            <sz val="8"/>
            <color indexed="81"/>
            <rFont val="Tahoma"/>
            <family val="2"/>
          </rPr>
          <t>* Caso o valor do CUB do mês corrente ainda não esteja disponível, utilize o do mês anterior.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Kruger</author>
  </authors>
  <commentList>
    <comment ref="I7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* Caso seu documento esteja saindo em duas folhas, experimente alterar as margens em Layout da Página -&gt; Margens;
* Nos casos de substituição de projeto aprovado, preencha o memorial como se fosse um projeto novo. No encaminhamento da substituição, faremos a compensação ou cobrança da diferença;
* Está com dúvidas no preenchimento do memorial? Entre em contato com a prefeitura no telefone </t>
        </r>
        <r>
          <rPr>
            <b/>
            <sz val="8"/>
            <color indexed="81"/>
            <rFont val="Tahoma"/>
            <family val="2"/>
          </rPr>
          <t>3598-8600 - ramal: 8678</t>
        </r>
        <r>
          <rPr>
            <sz val="8"/>
            <color indexed="81"/>
            <rFont val="Tahoma"/>
            <family val="2"/>
          </rPr>
          <t xml:space="preserve"> ou através do e-mail </t>
        </r>
        <r>
          <rPr>
            <b/>
            <sz val="8"/>
            <color indexed="81"/>
            <rFont val="Tahoma"/>
            <family val="2"/>
          </rPr>
          <t xml:space="preserve">protocolo@campobom.rs.gov.br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Felipe Misael Moraes Kruger</author>
  </authors>
  <commentList>
    <comment ref="A6" authorId="0" shapeId="0" xr:uid="{00000000-0006-0000-0700-000001000000}">
      <text>
        <r>
          <rPr>
            <b/>
            <sz val="9"/>
            <color indexed="81"/>
            <rFont val="Segoe UI"/>
            <family val="2"/>
          </rPr>
          <t>Felipe Misael Moraes Kruger:</t>
        </r>
        <r>
          <rPr>
            <sz val="9"/>
            <color indexed="81"/>
            <rFont val="Segoe UI"/>
            <family val="2"/>
          </rPr>
          <t xml:space="preserve">
Vínculos estão nessa linha.
Pintado em branco.</t>
        </r>
      </text>
    </comment>
  </commentList>
</comments>
</file>

<file path=xl/sharedStrings.xml><?xml version="1.0" encoding="utf-8"?>
<sst xmlns="http://schemas.openxmlformats.org/spreadsheetml/2006/main" count="483" uniqueCount="232">
  <si>
    <t>SOMA</t>
  </si>
  <si>
    <t>Madeira maciça/PVC</t>
  </si>
  <si>
    <t>Madeira compensada</t>
  </si>
  <si>
    <t>Madeira semi-oca/Ferro</t>
  </si>
  <si>
    <t>1. PORTAS EXTERNAS</t>
  </si>
  <si>
    <t>2. PORTAS INTERNAS</t>
  </si>
  <si>
    <t>3. JANELAS</t>
  </si>
  <si>
    <t>4. BANHEIROS</t>
  </si>
  <si>
    <t>6. RODAPÉS</t>
  </si>
  <si>
    <t>7. REVESTIMENTO INTERNO (BANHEIRO)</t>
  </si>
  <si>
    <t>8. REVESTIMENTO INTERNO (PAREDES)</t>
  </si>
  <si>
    <t>9. TETOS</t>
  </si>
  <si>
    <t>10. COBERTURA</t>
  </si>
  <si>
    <t>11. PINTURA INTERNA</t>
  </si>
  <si>
    <t>Madeira maciça</t>
  </si>
  <si>
    <t>PVC/Alumínio</t>
  </si>
  <si>
    <t>Porcelanato</t>
  </si>
  <si>
    <t>Madeira</t>
  </si>
  <si>
    <t>Calfino/Massa corrida</t>
  </si>
  <si>
    <t>Laje</t>
  </si>
  <si>
    <t>Telhas de concreto</t>
  </si>
  <si>
    <t>Cerâmica extra</t>
  </si>
  <si>
    <t>Cerâmica</t>
  </si>
  <si>
    <t>Azulejo Extra</t>
  </si>
  <si>
    <t>Reboco massa fina</t>
  </si>
  <si>
    <t>Gesso</t>
  </si>
  <si>
    <t>Telhas cerâmicas</t>
  </si>
  <si>
    <t>Lavatório c/coluna</t>
  </si>
  <si>
    <t>Reboco misto</t>
  </si>
  <si>
    <t>PVC/Madeira</t>
  </si>
  <si>
    <t>Tinta PVA</t>
  </si>
  <si>
    <t>Bacia c/caixa acoplada em cor</t>
  </si>
  <si>
    <t>Bacia c/caixa acoplada branca</t>
  </si>
  <si>
    <t>Bacia c/caixa não acoplada</t>
  </si>
  <si>
    <t>Bancada c/ cuba em louça de cor</t>
  </si>
  <si>
    <t>Bancada c/cuba em louça branca</t>
  </si>
  <si>
    <t>Tabuão/Laminado/Porcelanato</t>
  </si>
  <si>
    <t>5. PISOS</t>
  </si>
  <si>
    <t>Tinta acrílica sobre massa corrida</t>
  </si>
  <si>
    <t>Tinta acrílica sobre reboco</t>
  </si>
  <si>
    <t>5.PISOS</t>
  </si>
  <si>
    <t>6. REVESTIMENTO INTERNO (BANHEIRO)</t>
  </si>
  <si>
    <t>7. REVESTIMENTO INTERNO (PAREDES)</t>
  </si>
  <si>
    <t>8. TETOS</t>
  </si>
  <si>
    <t>9. COBERTURA</t>
  </si>
  <si>
    <t>10. PINTURA INTERNA</t>
  </si>
  <si>
    <t>11. PINTURA EXTERNA</t>
  </si>
  <si>
    <t>Sem forro</t>
  </si>
  <si>
    <t>PVC/Alumínio/Madeira</t>
  </si>
  <si>
    <t>PVC/Aluminio</t>
  </si>
  <si>
    <t>Azulejo</t>
  </si>
  <si>
    <t>Gesso/PVC/Madeira</t>
  </si>
  <si>
    <t>Telhas de alumínio</t>
  </si>
  <si>
    <t>Vidro laminado</t>
  </si>
  <si>
    <t>Telhas concreto/cerâm.</t>
  </si>
  <si>
    <t>1. ESTRUTURA</t>
  </si>
  <si>
    <t>Sem estrutura</t>
  </si>
  <si>
    <t>Pré-moldado/Convencional</t>
  </si>
  <si>
    <t>2. MEZANINO</t>
  </si>
  <si>
    <t>Sem mezanino</t>
  </si>
  <si>
    <t>Com mezanino</t>
  </si>
  <si>
    <t>3. COBERTURA</t>
  </si>
  <si>
    <t>Alumínio/Fibrocim. c/estrut. metálica/madeira</t>
  </si>
  <si>
    <t>Alumínio/Fibrocim. sobre pré-moldado</t>
  </si>
  <si>
    <t>4. PORTA PRINCIPAL</t>
  </si>
  <si>
    <t>Abrir/Correr</t>
  </si>
  <si>
    <t>Contrapeso</t>
  </si>
  <si>
    <t>5. PAREDES</t>
  </si>
  <si>
    <t>Tijolos concreto/cerâmicos</t>
  </si>
  <si>
    <t>Placas pré-moldadas</t>
  </si>
  <si>
    <t>6. PISO</t>
  </si>
  <si>
    <t>Contrapiso comum</t>
  </si>
  <si>
    <t>Industrial</t>
  </si>
  <si>
    <t>7. REVESTIMENTOS</t>
  </si>
  <si>
    <t>Tijolo aparente</t>
  </si>
  <si>
    <t>Reboco/Placas</t>
  </si>
  <si>
    <t>9. PINTURA</t>
  </si>
  <si>
    <t>PVA</t>
  </si>
  <si>
    <t>Acrílica</t>
  </si>
  <si>
    <t>PROJETO PARA</t>
  </si>
  <si>
    <t>REGULARIZAR</t>
  </si>
  <si>
    <t>CONSTRUIR</t>
  </si>
  <si>
    <t>ISSQN</t>
  </si>
  <si>
    <t>APROVAÇÃO</t>
  </si>
  <si>
    <t>HABITE-SE</t>
  </si>
  <si>
    <t>ALINHAMENTO</t>
  </si>
  <si>
    <t>FISCALIZAÇÃO</t>
  </si>
  <si>
    <t>TAXA DE APROVAÇÃO</t>
  </si>
  <si>
    <t>Descrição</t>
  </si>
  <si>
    <t>Valor Fixo</t>
  </si>
  <si>
    <t>Valor Limite</t>
  </si>
  <si>
    <t>Valor Acima do Limite</t>
  </si>
  <si>
    <t>Quantidade</t>
  </si>
  <si>
    <t>Valor</t>
  </si>
  <si>
    <t>CONST. ALV. SUP. 80 M2 POR M2 EXCEDENTE</t>
  </si>
  <si>
    <t>CONSTRUÇÃO DE ALVENARIA ATÉ 80 M2</t>
  </si>
  <si>
    <t>TAXA DE ALINHAMENTO</t>
  </si>
  <si>
    <t>ALINHAM. TERR. COM MAIS DE 12 M TESTADA P/M EXCED.</t>
  </si>
  <si>
    <t>ALINHAMENTO TERR. ATÉ 12 M TESTADA</t>
  </si>
  <si>
    <t>TAXA DE FISCALIZAÇÃO OU VISTORIA</t>
  </si>
  <si>
    <t>VISTORIA (CON-HAB) C/MAIS DE 80 M2, POR M2 EXCED.</t>
  </si>
  <si>
    <t>VISTORIA DE CONSTRUÇÃO E HABITE-SE</t>
  </si>
  <si>
    <t>.</t>
  </si>
  <si>
    <t>BAIXO</t>
  </si>
  <si>
    <t>ALTO</t>
  </si>
  <si>
    <t>MEDIO</t>
  </si>
  <si>
    <t>ATÉ 20</t>
  </si>
  <si>
    <t>21 - 32</t>
  </si>
  <si>
    <t>&gt;33</t>
  </si>
  <si>
    <t>TOTAL</t>
  </si>
  <si>
    <t>NORMAL</t>
  </si>
  <si>
    <t>GI</t>
  </si>
  <si>
    <t>ATÉ 16</t>
  </si>
  <si>
    <t>17 - 27</t>
  </si>
  <si>
    <t>&gt;27</t>
  </si>
  <si>
    <t>ATÉ 19</t>
  </si>
  <si>
    <t>Conjunto c/ cx. desc. acoplada em cor</t>
  </si>
  <si>
    <t>Conjunto c/ cx. desc. acoplada branca</t>
  </si>
  <si>
    <t>Conjunto c/ cx. desc. não acoplada</t>
  </si>
  <si>
    <t>12. RESVESTIMENTO EXTERNO</t>
  </si>
  <si>
    <t>Reboco com Pintura PVA</t>
  </si>
  <si>
    <t>Reboco com Pintura acrílica</t>
  </si>
  <si>
    <t>Reboco com pintura PVA</t>
  </si>
  <si>
    <t>Reboco com pintura acrílica</t>
  </si>
  <si>
    <t>Reboco com textura</t>
  </si>
  <si>
    <t>Baixo</t>
  </si>
  <si>
    <t>Normal</t>
  </si>
  <si>
    <t>Alto</t>
  </si>
  <si>
    <t>PROJETOS</t>
  </si>
  <si>
    <t>Código</t>
  </si>
  <si>
    <t>Valor do mês corrente</t>
  </si>
  <si>
    <t>R - 1 (Res. Unifamiliar)</t>
  </si>
  <si>
    <t>Padrão de Acabamento</t>
  </si>
  <si>
    <t>R 1-B</t>
  </si>
  <si>
    <t>R 1-N</t>
  </si>
  <si>
    <t>R 1-A</t>
  </si>
  <si>
    <t>GI (Galpão Industrial)</t>
  </si>
  <si>
    <t>TOTAL A PAGAR</t>
  </si>
  <si>
    <t xml:space="preserve">Insira os valores correspondentes abaixo </t>
  </si>
  <si>
    <t>MADEIRA</t>
  </si>
  <si>
    <t>METAL</t>
  </si>
  <si>
    <t>PRECISA DE ALINHAMENTO?</t>
  </si>
  <si>
    <t>TESTADA DO LOTE EM METROS</t>
  </si>
  <si>
    <t>CONST. MADEIRA SUP. 80 M2 POR M2 EXCEDENTE</t>
  </si>
  <si>
    <t>CONSTRUÇÃO DE MADEIRA ATÉ 80 M2</t>
  </si>
  <si>
    <t>MADEIRA SIMPLES</t>
  </si>
  <si>
    <t>MADEIRA DE LEI</t>
  </si>
  <si>
    <t>PORTAS EXTERNAS</t>
  </si>
  <si>
    <t>PORTAS INTERNAS</t>
  </si>
  <si>
    <t>JANELAS</t>
  </si>
  <si>
    <t>PISOS</t>
  </si>
  <si>
    <t>REVESTIMENTO INTERNO (BANHEIROS)</t>
  </si>
  <si>
    <t>REVESTIMENTO INTERNO (PAREDES)</t>
  </si>
  <si>
    <t>TETO</t>
  </si>
  <si>
    <t>COBERTURA</t>
  </si>
  <si>
    <t>PINTURA INTERNA</t>
  </si>
  <si>
    <r>
      <t xml:space="preserve">ESTRUTURA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</si>
  <si>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MEZANINO </t>
    </r>
    <r>
      <rPr>
        <b/>
        <sz val="8"/>
        <color theme="1"/>
        <rFont val="Calibri"/>
        <family val="2"/>
        <scheme val="minor"/>
      </rPr>
      <t>(somente industrial)</t>
    </r>
  </si>
  <si>
    <r>
      <t>PORTA PRINCIPAL</t>
    </r>
    <r>
      <rPr>
        <b/>
        <sz val="8"/>
        <color theme="1"/>
        <rFont val="Calibri"/>
        <family val="2"/>
        <scheme val="minor"/>
      </rPr>
      <t xml:space="preserve"> (somente industrial)</t>
    </r>
  </si>
  <si>
    <r>
      <t xml:space="preserve">PAREDES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</si>
  <si>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REVESTIMENTOS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</si>
  <si>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PINTURA </t>
    </r>
    <r>
      <rPr>
        <b/>
        <sz val="8"/>
        <color theme="1"/>
        <rFont val="Calibri"/>
        <family val="2"/>
        <scheme val="minor"/>
      </rPr>
      <t>(somente industrial)</t>
    </r>
  </si>
  <si>
    <r>
      <t xml:space="preserve">PINTURA EXTERNA </t>
    </r>
    <r>
      <rPr>
        <b/>
        <sz val="8"/>
        <color theme="1"/>
        <rFont val="Calibri"/>
        <family val="2"/>
        <scheme val="minor"/>
      </rPr>
      <t>(somente comercial)</t>
    </r>
  </si>
  <si>
    <r>
      <t xml:space="preserve">REVESTIMENTO EXTERNO </t>
    </r>
    <r>
      <rPr>
        <b/>
        <sz val="8"/>
        <color theme="1"/>
        <rFont val="Calibri"/>
        <family val="2"/>
        <scheme val="minor"/>
      </rPr>
      <t>(somente residencial)</t>
    </r>
  </si>
  <si>
    <r>
      <t xml:space="preserve">BANHEIROS </t>
    </r>
    <r>
      <rPr>
        <b/>
        <sz val="8"/>
        <color theme="1"/>
        <rFont val="Calibri"/>
        <family val="2"/>
        <scheme val="minor"/>
      </rPr>
      <t>(residencial preencha as duas opções)</t>
    </r>
  </si>
  <si>
    <t>CPF/CNPJ</t>
  </si>
  <si>
    <t>PROTOCOLO</t>
  </si>
  <si>
    <t>ENDEREÇO DA OBRA</t>
  </si>
  <si>
    <t>Tipo de construção</t>
  </si>
  <si>
    <t>PADRÃO CONSTRUTIVO</t>
  </si>
  <si>
    <t>NOME DO PROPRIETÁRIO / RAZÃO SOCIAL</t>
  </si>
  <si>
    <t>RESIDENCIAL</t>
  </si>
  <si>
    <r>
      <t xml:space="preserve">TIPO DE MADEIRA </t>
    </r>
    <r>
      <rPr>
        <b/>
        <sz val="8"/>
        <color theme="1"/>
        <rFont val="Calibri"/>
        <family val="2"/>
        <scheme val="minor"/>
      </rPr>
      <t>(somente madeira)</t>
    </r>
  </si>
  <si>
    <t>Alvenaria/Conteiner Residencial</t>
  </si>
  <si>
    <t>Alvenaria/Conteiner Comercial</t>
  </si>
  <si>
    <t>Telheiros</t>
  </si>
  <si>
    <t>CONSTRUIR E REGULARIZAR</t>
  </si>
  <si>
    <t>SUBSTITUIR PROJETO APROVADO</t>
  </si>
  <si>
    <t>DEFIN.</t>
  </si>
  <si>
    <t>%</t>
  </si>
  <si>
    <t>VALOR</t>
  </si>
  <si>
    <t>PTS SOM.</t>
  </si>
  <si>
    <t>20 - 32</t>
  </si>
  <si>
    <t>PADRÃO</t>
  </si>
  <si>
    <t>ISSQN RESIDENCIAL</t>
  </si>
  <si>
    <t>ISSQN COMERCIAL</t>
  </si>
  <si>
    <t>ISSQN INDUSTRIAL</t>
  </si>
  <si>
    <t>ISSQN MADEIRA</t>
  </si>
  <si>
    <t>ISSQN TELHEIROS</t>
  </si>
  <si>
    <t>Calfino/Massa corrida/Conteiner</t>
  </si>
  <si>
    <t>Azulejo Comercial/Conteiner</t>
  </si>
  <si>
    <t>Cerâmica comercial/Conteiner</t>
  </si>
  <si>
    <t>Madeira semi-oca/Conteiner</t>
  </si>
  <si>
    <t>Ferro/Conteiner</t>
  </si>
  <si>
    <t>Sem rodapés/Conteiner</t>
  </si>
  <si>
    <t>Laje/Conteiner</t>
  </si>
  <si>
    <t>Pastilhas/Placas/Reboco com textura/Conteiner</t>
  </si>
  <si>
    <t>Pintura impermeável/Conteiner</t>
  </si>
  <si>
    <t>Reboco misto/Conteiner</t>
  </si>
  <si>
    <t>Fibrocimento/Conteiner</t>
  </si>
  <si>
    <t>SOMA TOTAL</t>
  </si>
  <si>
    <t>*Sujeito a alterações</t>
  </si>
  <si>
    <t>DATA</t>
  </si>
  <si>
    <t>Assinatura do Proprietário</t>
  </si>
  <si>
    <t>Assinatura do Responsável Técnico</t>
  </si>
  <si>
    <r>
      <t xml:space="preserve">RODAPÉS </t>
    </r>
    <r>
      <rPr>
        <b/>
        <sz val="8"/>
        <color theme="1"/>
        <rFont val="Calibri"/>
        <family val="2"/>
        <scheme val="minor"/>
      </rPr>
      <t>(somente residencial)</t>
    </r>
  </si>
  <si>
    <t>?</t>
  </si>
  <si>
    <r>
      <rPr>
        <sz val="11"/>
        <rFont val="Calibri"/>
        <family val="2"/>
        <scheme val="minor"/>
      </rPr>
      <t xml:space="preserve">CUB - RS (Consulte o valor </t>
    </r>
    <r>
      <rPr>
        <u/>
        <sz val="11"/>
        <rFont val="Calibri"/>
        <family val="2"/>
        <scheme val="minor"/>
      </rPr>
      <t>aqui</t>
    </r>
    <r>
      <rPr>
        <sz val="11"/>
        <rFont val="Calibri"/>
        <family val="2"/>
        <scheme val="minor"/>
      </rPr>
      <t>)</t>
    </r>
  </si>
  <si>
    <t xml:space="preserve">Vistoria para Habite-se até 200,00m² </t>
  </si>
  <si>
    <t xml:space="preserve">Vistoria para Habite-se de 200,01m² a 500,00m² </t>
  </si>
  <si>
    <t xml:space="preserve">Vistoria para Habite-se acima de 500,01m² </t>
  </si>
  <si>
    <t xml:space="preserve">Residencial - até 70,00m² </t>
  </si>
  <si>
    <t xml:space="preserve">Residencial - de 70,01m² até 140,00m² </t>
  </si>
  <si>
    <t xml:space="preserve">Residencial - de 140,01m² até 210,00m² </t>
  </si>
  <si>
    <t xml:space="preserve">Residencial - de 210,01m² até 500m² </t>
  </si>
  <si>
    <t xml:space="preserve">Residencial - acima de 500m² </t>
  </si>
  <si>
    <t xml:space="preserve">Não Residencial - até 100,00m² </t>
  </si>
  <si>
    <t xml:space="preserve">Não Residencial - de 100,01m² até 200,00m² </t>
  </si>
  <si>
    <t xml:space="preserve">Não Residencial - de 200,01m² até 500,00m² </t>
  </si>
  <si>
    <t xml:space="preserve">Não Residencial - de 500,01m² até 1000,00m² </t>
  </si>
  <si>
    <t xml:space="preserve">Não Residencial - acima de 1000,01m² </t>
  </si>
  <si>
    <t>CSL 8-N</t>
  </si>
  <si>
    <t xml:space="preserve">CSL- 8 (Comercial Salas e Lojas) </t>
  </si>
  <si>
    <t>CSL 8-A</t>
  </si>
  <si>
    <t>CAL- 8 (Comercial Andar Livres)</t>
  </si>
  <si>
    <t>CAL 8-N</t>
  </si>
  <si>
    <t>VALOR DO CUB (informado na aba Home)</t>
  </si>
  <si>
    <t>VALOR DA URM (informado na aba Home)</t>
  </si>
  <si>
    <t>Desenvolvida pela Secretaria de Finanças de Campo Bom. Versão 1.03</t>
  </si>
  <si>
    <t>MEMORIAL DESCRITIVO - TAXAS E ISSQN - v1.03</t>
  </si>
  <si>
    <t>Metragens (m²) (obrigatório)</t>
  </si>
  <si>
    <t>URM de Janeiro do ano 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</si>
</sst>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_-&quot;R$&quot;\ * #,##0.0000_-;\-&quot;R$&quot;\ * #,##0.0000_-;_-&quot;R$&quot;\ * &quot;-&quot;??_-;_-@_-"/>
    <numFmt numFmtId="167" formatCode="&quot;R$&quot;\ #,##0.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11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03315"/>
      </left>
      <right style="thin">
        <color rgb="FF203315"/>
      </right>
      <top style="thin">
        <color rgb="FF203315"/>
      </top>
      <bottom style="thin">
        <color rgb="FF203315"/>
      </bottom>
      <diagonal/>
    </border>
    <border>
      <left style="thin">
        <color rgb="FF203315"/>
      </left>
      <right/>
      <top style="thin">
        <color rgb="FF203315"/>
      </top>
      <bottom style="thin">
        <color rgb="FF203315"/>
      </bottom>
      <diagonal/>
    </border>
    <border>
      <left/>
      <right style="thin">
        <color rgb="FF203315"/>
      </right>
      <top style="thin">
        <color rgb="FF203315"/>
      </top>
      <bottom style="thin">
        <color rgb="FF20331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03315"/>
      </left>
      <right style="thin">
        <color rgb="FF203315"/>
      </right>
      <top/>
      <bottom style="thin">
        <color rgb="FF203315"/>
      </bottom>
      <diagonal/>
    </border>
    <border>
      <left/>
      <right/>
      <top style="thin">
        <color rgb="FF203315"/>
      </top>
      <bottom style="thin">
        <color rgb="FF203315"/>
      </bottom>
      <diagonal/>
    </border>
    <border>
      <left/>
      <right style="thin">
        <color rgb="FF203315"/>
      </right>
      <top/>
      <bottom style="thin">
        <color rgb="FF203315"/>
      </bottom>
      <diagonal/>
    </border>
    <border>
      <left style="thin">
        <color rgb="FF203315"/>
      </left>
      <right/>
      <top style="thin">
        <color indexed="64"/>
      </top>
      <bottom style="thin">
        <color rgb="FF203315"/>
      </bottom>
      <diagonal/>
    </border>
    <border>
      <left/>
      <right style="thin">
        <color rgb="FF203315"/>
      </right>
      <top style="thin">
        <color indexed="64"/>
      </top>
      <bottom style="thin">
        <color rgb="FF20331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44" fontId="0" fillId="0" borderId="5" xfId="1" applyFont="1" applyBorder="1" applyAlignment="1"/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1" applyNumberFormat="1" applyFont="1" applyBorder="1" applyAlignment="1"/>
    <xf numFmtId="0" fontId="12" fillId="0" borderId="1" xfId="0" applyFont="1" applyBorder="1" applyAlignment="1">
      <alignment horizontal="center" vertical="center"/>
    </xf>
    <xf numFmtId="0" fontId="0" fillId="8" borderId="0" xfId="0" applyFill="1" applyAlignment="1">
      <alignment horizontal="left" indent="45"/>
    </xf>
    <xf numFmtId="0" fontId="0" fillId="8" borderId="0" xfId="0" applyFill="1"/>
    <xf numFmtId="0" fontId="8" fillId="8" borderId="0" xfId="0" applyFont="1" applyFill="1"/>
    <xf numFmtId="0" fontId="7" fillId="9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9" borderId="1" xfId="0" applyFont="1" applyFill="1" applyBorder="1"/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7" borderId="1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44" fontId="0" fillId="0" borderId="1" xfId="1" applyFont="1" applyBorder="1" applyAlignment="1"/>
    <xf numFmtId="0" fontId="0" fillId="0" borderId="3" xfId="0" applyBorder="1" applyAlignment="1">
      <alignment horizontal="right"/>
    </xf>
    <xf numFmtId="44" fontId="0" fillId="0" borderId="3" xfId="1" applyFont="1" applyBorder="1" applyAlignment="1"/>
    <xf numFmtId="0" fontId="9" fillId="3" borderId="12" xfId="0" applyFont="1" applyFill="1" applyBorder="1" applyAlignment="1">
      <alignment horizontal="center"/>
    </xf>
    <xf numFmtId="0" fontId="0" fillId="9" borderId="1" xfId="0" applyFill="1" applyBorder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44" fontId="0" fillId="0" borderId="7" xfId="1" applyFont="1" applyBorder="1" applyAlignme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44" fontId="0" fillId="0" borderId="6" xfId="1" applyFont="1" applyBorder="1" applyAlignment="1"/>
    <xf numFmtId="0" fontId="16" fillId="0" borderId="1" xfId="0" applyFont="1" applyBorder="1"/>
    <xf numFmtId="0" fontId="0" fillId="0" borderId="13" xfId="0" applyBorder="1"/>
    <xf numFmtId="9" fontId="0" fillId="0" borderId="13" xfId="0" applyNumberFormat="1" applyBorder="1" applyAlignment="1">
      <alignment horizontal="center"/>
    </xf>
    <xf numFmtId="44" fontId="0" fillId="0" borderId="13" xfId="1" applyFont="1" applyBorder="1" applyAlignment="1"/>
    <xf numFmtId="44" fontId="0" fillId="0" borderId="15" xfId="1" applyFont="1" applyBorder="1" applyAlignment="1"/>
    <xf numFmtId="0" fontId="0" fillId="0" borderId="15" xfId="1" applyNumberFormat="1" applyFont="1" applyBorder="1" applyAlignment="1"/>
    <xf numFmtId="9" fontId="0" fillId="0" borderId="1" xfId="0" applyNumberFormat="1" applyBorder="1" applyAlignment="1">
      <alignment horizontal="center"/>
    </xf>
    <xf numFmtId="0" fontId="0" fillId="0" borderId="1" xfId="1" applyNumberFormat="1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/>
    <xf numFmtId="44" fontId="0" fillId="0" borderId="10" xfId="1" applyFont="1" applyBorder="1" applyAlignment="1"/>
    <xf numFmtId="44" fontId="0" fillId="0" borderId="11" xfId="1" applyFont="1" applyBorder="1" applyAlignment="1"/>
    <xf numFmtId="44" fontId="0" fillId="0" borderId="16" xfId="1" applyFont="1" applyBorder="1" applyAlignment="1"/>
    <xf numFmtId="44" fontId="0" fillId="0" borderId="17" xfId="1" applyFont="1" applyBorder="1" applyAlignment="1"/>
    <xf numFmtId="44" fontId="0" fillId="0" borderId="0" xfId="1" applyFont="1" applyBorder="1" applyAlignment="1"/>
    <xf numFmtId="0" fontId="9" fillId="0" borderId="0" xfId="0" applyFont="1" applyAlignment="1">
      <alignment horizontal="center"/>
    </xf>
    <xf numFmtId="44" fontId="0" fillId="0" borderId="0" xfId="1" applyFont="1" applyFill="1" applyBorder="1" applyAlignment="1"/>
    <xf numFmtId="44" fontId="0" fillId="0" borderId="0" xfId="1" applyFont="1" applyFill="1" applyBorder="1" applyAlignment="1">
      <alignment horizontal="center"/>
    </xf>
    <xf numFmtId="44" fontId="12" fillId="0" borderId="1" xfId="0" applyNumberFormat="1" applyFont="1" applyBorder="1"/>
    <xf numFmtId="44" fontId="12" fillId="0" borderId="1" xfId="1" applyFont="1" applyBorder="1"/>
    <xf numFmtId="44" fontId="11" fillId="0" borderId="1" xfId="0" applyNumberFormat="1" applyFont="1" applyBorder="1"/>
    <xf numFmtId="0" fontId="11" fillId="0" borderId="0" xfId="0" applyFont="1"/>
    <xf numFmtId="44" fontId="11" fillId="0" borderId="0" xfId="0" applyNumberFormat="1" applyFont="1"/>
    <xf numFmtId="0" fontId="6" fillId="7" borderId="1" xfId="0" applyFont="1" applyFill="1" applyBorder="1" applyAlignment="1">
      <alignment horizontal="left" vertical="center"/>
    </xf>
    <xf numFmtId="44" fontId="0" fillId="8" borderId="0" xfId="1" applyFont="1" applyFill="1"/>
    <xf numFmtId="0" fontId="1" fillId="8" borderId="0" xfId="0" applyFont="1" applyFill="1"/>
    <xf numFmtId="0" fontId="7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6" fillId="8" borderId="0" xfId="0" applyFont="1" applyFill="1" applyAlignment="1">
      <alignment horizontal="left" vertical="center"/>
    </xf>
    <xf numFmtId="0" fontId="17" fillId="8" borderId="0" xfId="0" applyFont="1" applyFill="1"/>
    <xf numFmtId="0" fontId="17" fillId="8" borderId="0" xfId="0" applyFont="1" applyFill="1" applyProtection="1">
      <protection locked="0"/>
    </xf>
    <xf numFmtId="0" fontId="18" fillId="8" borderId="0" xfId="0" applyFont="1" applyFill="1" applyAlignment="1">
      <alignment horizontal="left" vertical="center"/>
    </xf>
    <xf numFmtId="0" fontId="18" fillId="8" borderId="0" xfId="0" applyFont="1" applyFill="1" applyAlignment="1" applyProtection="1">
      <alignment horizontal="left" vertical="center"/>
      <protection locked="0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21" fillId="11" borderId="0" xfId="0" applyFont="1" applyFill="1" applyAlignment="1" applyProtection="1">
      <alignment horizontal="center"/>
      <protection locked="0"/>
    </xf>
    <xf numFmtId="0" fontId="22" fillId="11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5" fillId="8" borderId="0" xfId="0" applyFont="1" applyFill="1"/>
    <xf numFmtId="0" fontId="1" fillId="12" borderId="1" xfId="0" applyFont="1" applyFill="1" applyBorder="1" applyAlignment="1">
      <alignment horizontal="center" vertical="center"/>
    </xf>
    <xf numFmtId="44" fontId="0" fillId="12" borderId="1" xfId="1" applyFont="1" applyFill="1" applyBorder="1" applyAlignment="1"/>
    <xf numFmtId="0" fontId="0" fillId="0" borderId="3" xfId="0" applyBorder="1"/>
    <xf numFmtId="0" fontId="0" fillId="12" borderId="1" xfId="0" applyFill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12" borderId="4" xfId="0" applyFill="1" applyBorder="1" applyAlignment="1">
      <alignment vertical="center"/>
    </xf>
    <xf numFmtId="44" fontId="0" fillId="0" borderId="4" xfId="1" applyFont="1" applyFill="1" applyBorder="1" applyAlignment="1"/>
    <xf numFmtId="0" fontId="0" fillId="0" borderId="18" xfId="0" applyBorder="1"/>
    <xf numFmtId="0" fontId="0" fillId="0" borderId="18" xfId="0" applyBorder="1" applyAlignment="1">
      <alignment horizontal="right"/>
    </xf>
    <xf numFmtId="0" fontId="1" fillId="12" borderId="4" xfId="0" applyFont="1" applyFill="1" applyBorder="1" applyAlignment="1">
      <alignment horizontal="center" vertical="center"/>
    </xf>
    <xf numFmtId="44" fontId="0" fillId="12" borderId="4" xfId="1" applyFont="1" applyFill="1" applyBorder="1" applyAlignment="1"/>
    <xf numFmtId="0" fontId="0" fillId="0" borderId="4" xfId="1" applyNumberFormat="1" applyFont="1" applyFill="1" applyBorder="1" applyAlignment="1"/>
    <xf numFmtId="1" fontId="0" fillId="12" borderId="3" xfId="1" applyNumberFormat="1" applyFont="1" applyFill="1" applyBorder="1" applyAlignment="1">
      <alignment vertical="center"/>
    </xf>
    <xf numFmtId="1" fontId="0" fillId="12" borderId="8" xfId="1" applyNumberFormat="1" applyFont="1" applyFill="1" applyBorder="1" applyAlignment="1">
      <alignment vertical="center"/>
    </xf>
    <xf numFmtId="1" fontId="1" fillId="12" borderId="1" xfId="1" applyNumberFormat="1" applyFont="1" applyFill="1" applyBorder="1" applyAlignment="1">
      <alignment horizontal="center"/>
    </xf>
    <xf numFmtId="1" fontId="0" fillId="12" borderId="19" xfId="1" applyNumberFormat="1" applyFont="1" applyFill="1" applyBorder="1" applyAlignment="1">
      <alignment vertical="center"/>
    </xf>
    <xf numFmtId="44" fontId="0" fillId="12" borderId="18" xfId="1" applyFont="1" applyFill="1" applyBorder="1" applyAlignment="1"/>
    <xf numFmtId="0" fontId="9" fillId="12" borderId="9" xfId="0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/>
    </xf>
    <xf numFmtId="44" fontId="11" fillId="0" borderId="1" xfId="1" applyFont="1" applyFill="1" applyBorder="1" applyProtection="1">
      <protection locked="0"/>
    </xf>
    <xf numFmtId="44" fontId="12" fillId="0" borderId="1" xfId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44" fontId="12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7" fillId="9" borderId="1" xfId="1" applyNumberFormat="1" applyFont="1" applyFill="1" applyBorder="1" applyAlignment="1">
      <alignment horizontal="center"/>
    </xf>
    <xf numFmtId="165" fontId="7" fillId="9" borderId="1" xfId="0" applyNumberFormat="1" applyFont="1" applyFill="1" applyBorder="1" applyAlignment="1">
      <alignment horizontal="center"/>
    </xf>
    <xf numFmtId="167" fontId="7" fillId="9" borderId="1" xfId="1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6" fontId="1" fillId="0" borderId="1" xfId="1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6" fillId="7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/>
    </xf>
    <xf numFmtId="14" fontId="7" fillId="0" borderId="11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left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4" fontId="0" fillId="0" borderId="5" xfId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5" fillId="0" borderId="5" xfId="1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7" xfId="1" applyFont="1" applyBorder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CD1305"/>
      <color rgb="FFA29E00"/>
      <color rgb="FF203315"/>
      <color rgb="FFFB5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'Calc. Resid.'!$A$6" fmlaRange="'Calc. Resid.'!$A$2:$A$5" noThreeD="1" sel="4" val="0"/>
</file>

<file path=xl/ctrlProps/ctrlProp10.xml><?xml version="1.0" encoding="utf-8"?>
<formControlPr xmlns="http://schemas.microsoft.com/office/spreadsheetml/2009/9/main" objectType="Drop" dropStyle="combo" dx="16" fmlaLink="'Calc. Resid.'!$J$6" fmlaRange="'Calc. Resid.'!$J$2:$J$5" noThreeD="1" sel="4" val="0"/>
</file>

<file path=xl/ctrlProps/ctrlProp11.xml><?xml version="1.0" encoding="utf-8"?>
<formControlPr xmlns="http://schemas.microsoft.com/office/spreadsheetml/2009/9/main" objectType="Drop" dropStyle="combo" dx="16" fmlaLink="'Calc. Com.'!$E$6" fmlaRange="'Calc. Com.'!$E$2:$E$5" noThreeD="1" sel="4" val="0"/>
</file>

<file path=xl/ctrlProps/ctrlProp12.xml><?xml version="1.0" encoding="utf-8"?>
<formControlPr xmlns="http://schemas.microsoft.com/office/spreadsheetml/2009/9/main" objectType="Drop" dropStyle="combo" dx="16" fmlaLink="'Calc. Pav.'!$F$6" fmlaRange="'Calc. Pav.'!$F$2:$F$4" noThreeD="1" sel="3" val="0"/>
</file>

<file path=xl/ctrlProps/ctrlProp13.xml><?xml version="1.0" encoding="utf-8"?>
<formControlPr xmlns="http://schemas.microsoft.com/office/spreadsheetml/2009/9/main" objectType="Drop" dropStyle="combo" dx="16" fmlaLink="'Calc. Resid.'!$L$6" fmlaRange="'Calc. Resid.'!$L$2:$L$5" noThreeD="1" sel="4" val="0"/>
</file>

<file path=xl/ctrlProps/ctrlProp14.xml><?xml version="1.0" encoding="utf-8"?>
<formControlPr xmlns="http://schemas.microsoft.com/office/spreadsheetml/2009/9/main" objectType="Drop" dropStyle="combo" dx="16" fmlaLink="'Calc. Resid.'!$N$6" fmlaRange="'Calc. Resid.'!$N$2:$N$5" noThreeD="1" sel="4" val="0"/>
</file>

<file path=xl/ctrlProps/ctrlProp15.xml><?xml version="1.0" encoding="utf-8"?>
<formControlPr xmlns="http://schemas.microsoft.com/office/spreadsheetml/2009/9/main" objectType="Drop" dropStyle="combo" dx="16" fmlaLink="'Calc. Com.'!$F$6" fmlaRange="'Calc. Com.'!$F$2:$F$5" noThreeD="1" sel="4" val="0"/>
</file>

<file path=xl/ctrlProps/ctrlProp16.xml><?xml version="1.0" encoding="utf-8"?>
<formControlPr xmlns="http://schemas.microsoft.com/office/spreadsheetml/2009/9/main" objectType="Drop" dropStyle="combo" dx="16" fmlaLink="'Calc. Resid.'!$E$6" fmlaRange="'Calc. Resid.'!$E$2:$E$5" noThreeD="1" sel="4" val="0"/>
</file>

<file path=xl/ctrlProps/ctrlProp17.xml><?xml version="1.0" encoding="utf-8"?>
<formControlPr xmlns="http://schemas.microsoft.com/office/spreadsheetml/2009/9/main" objectType="Drop" dropStyle="combo" dx="16" fmlaLink="'Calc. Resid.'!$P$6" fmlaRange="'Calc. Resid.'!$P$2:$P$5" noThreeD="1" sel="4" val="0"/>
</file>

<file path=xl/ctrlProps/ctrlProp18.xml><?xml version="1.0" encoding="utf-8"?>
<formControlPr xmlns="http://schemas.microsoft.com/office/spreadsheetml/2009/9/main" objectType="Drop" dropStyle="combo" dx="16" fmlaLink="'Calc. Com.'!$G$6" fmlaRange="'Calc. Com.'!$G$2:$G$5" noThreeD="1" sel="4" val="0"/>
</file>

<file path=xl/ctrlProps/ctrlProp19.xml><?xml version="1.0" encoding="utf-8"?>
<formControlPr xmlns="http://schemas.microsoft.com/office/spreadsheetml/2009/9/main" objectType="Drop" dropStyle="combo" dx="16" fmlaLink="'Calc. Resid.'!$R$6" fmlaRange="'Calc. Resid.'!$R$2:$R$5" noThreeD="1" sel="4" val="0"/>
</file>

<file path=xl/ctrlProps/ctrlProp2.xml><?xml version="1.0" encoding="utf-8"?>
<formControlPr xmlns="http://schemas.microsoft.com/office/spreadsheetml/2009/9/main" objectType="Drop" dropStyle="combo" dx="16" fmlaLink="'Calc. Com.'!$A$6" fmlaRange="'Calc. Com.'!$A$2:$A$5" noThreeD="1" sel="4" val="0"/>
</file>

<file path=xl/ctrlProps/ctrlProp20.xml><?xml version="1.0" encoding="utf-8"?>
<formControlPr xmlns="http://schemas.microsoft.com/office/spreadsheetml/2009/9/main" objectType="Drop" dropStyle="combo" dx="16" fmlaLink="'Calc. Com.'!$H$6" fmlaRange="'Calc. Com.'!$H$2:$H$5" noThreeD="1" sel="4" val="0"/>
</file>

<file path=xl/ctrlProps/ctrlProp21.xml><?xml version="1.0" encoding="utf-8"?>
<formControlPr xmlns="http://schemas.microsoft.com/office/spreadsheetml/2009/9/main" objectType="Drop" dropStyle="combo" dx="16" fmlaLink="'Calc. Pav.'!$H$6" fmlaRange="'Calc. Pav.'!$H$2:$H$4" noThreeD="1" sel="3" val="0"/>
</file>

<file path=xl/ctrlProps/ctrlProp22.xml><?xml version="1.0" encoding="utf-8"?>
<formControlPr xmlns="http://schemas.microsoft.com/office/spreadsheetml/2009/9/main" objectType="Drop" dropStyle="combo" dx="16" fmlaLink="'Calc. Resid.'!V$6" fmlaRange="'Calc. Resid.'!$V$2:$V$5" noThreeD="1" sel="4" val="0"/>
</file>

<file path=xl/ctrlProps/ctrlProp23.xml><?xml version="1.0" encoding="utf-8"?>
<formControlPr xmlns="http://schemas.microsoft.com/office/spreadsheetml/2009/9/main" objectType="Drop" dropStyle="combo" dx="16" fmlaLink="'Calc. Com.'!$J$6" fmlaRange="'Calc. Com.'!$J$2:$J$5" noThreeD="1" sel="4" val="0"/>
</file>

<file path=xl/ctrlProps/ctrlProp24.xml><?xml version="1.0" encoding="utf-8"?>
<formControlPr xmlns="http://schemas.microsoft.com/office/spreadsheetml/2009/9/main" objectType="Drop" dropStyle="combo" dx="16" fmlaLink="'Calc. Resid.'!X$6" fmlaRange="'Calc. Resid.'!$X$2:$X$5" noThreeD="1" sel="4" val="0"/>
</file>

<file path=xl/ctrlProps/ctrlProp25.xml><?xml version="1.0" encoding="utf-8"?>
<formControlPr xmlns="http://schemas.microsoft.com/office/spreadsheetml/2009/9/main" objectType="Drop" dropStyle="combo" dx="16" fmlaLink="'Calc. Com.'!$K$6" fmlaRange="'Calc. Com.'!$K$2:$K$5" noThreeD="1" sel="4" val="0"/>
</file>

<file path=xl/ctrlProps/ctrlProp26.xml><?xml version="1.0" encoding="utf-8"?>
<formControlPr xmlns="http://schemas.microsoft.com/office/spreadsheetml/2009/9/main" objectType="Drop" dropStyle="combo" dx="16" fmlaLink="'Calc. Pav.'!$A$6" fmlaRange="'Calc. Pav.'!$A$2:$A$4" noThreeD="1" sel="3" val="0"/>
</file>

<file path=xl/ctrlProps/ctrlProp27.xml><?xml version="1.0" encoding="utf-8"?>
<formControlPr xmlns="http://schemas.microsoft.com/office/spreadsheetml/2009/9/main" objectType="Drop" dropStyle="combo" dx="16" fmlaLink="'Calc. Pav.'!$B$6" fmlaRange="'Calc. Pav.'!$B$2:$B$4" noThreeD="1" sel="3" val="0"/>
</file>

<file path=xl/ctrlProps/ctrlProp28.xml><?xml version="1.0" encoding="utf-8"?>
<formControlPr xmlns="http://schemas.microsoft.com/office/spreadsheetml/2009/9/main" objectType="Drop" dropStyle="combo" dx="16" fmlaLink="'Calc. Pav.'!$D$6" fmlaRange="'Calc. Pav.'!$D$2:$D$4" noThreeD="1" sel="3" val="0"/>
</file>

<file path=xl/ctrlProps/ctrlProp29.xml><?xml version="1.0" encoding="utf-8"?>
<formControlPr xmlns="http://schemas.microsoft.com/office/spreadsheetml/2009/9/main" objectType="Drop" dropStyle="combo" dx="16" fmlaLink="'Calc. Pav.'!$E$6" fmlaRange="'Calc. Pav.'!$E$2:$E$4" noThreeD="1" sel="3" val="0"/>
</file>

<file path=xl/ctrlProps/ctrlProp3.xml><?xml version="1.0" encoding="utf-8"?>
<formControlPr xmlns="http://schemas.microsoft.com/office/spreadsheetml/2009/9/main" objectType="Drop" dropStyle="combo" dx="16" fmlaLink="'Calc. Resid.'!$T$6" fmlaRange="'Calc. Resid.'!$T$2:$T$5" noThreeD="1" sel="4" val="0"/>
</file>

<file path=xl/ctrlProps/ctrlProp30.xml><?xml version="1.0" encoding="utf-8"?>
<formControlPr xmlns="http://schemas.microsoft.com/office/spreadsheetml/2009/9/main" objectType="Drop" dropStyle="combo" dx="16" fmlaLink="'Calc. Pav.'!$G$6" fmlaRange="'Calc. Pav.'!$G$2:$G$4" noThreeD="1" sel="3" val="0"/>
</file>

<file path=xl/ctrlProps/ctrlProp31.xml><?xml version="1.0" encoding="utf-8"?>
<formControlPr xmlns="http://schemas.microsoft.com/office/spreadsheetml/2009/9/main" objectType="Drop" dropStyle="combo" dx="16" fmlaLink="'Calc. Pav.'!$I$6" fmlaRange="'Calc. Pav.'!$I$2:$I$4" noThreeD="1" sel="3" val="0"/>
</file>

<file path=xl/ctrlProps/ctrlProp32.xml><?xml version="1.0" encoding="utf-8"?>
<formControlPr xmlns="http://schemas.microsoft.com/office/spreadsheetml/2009/9/main" objectType="Drop" dropStyle="combo" dx="16" fmlaLink="'Calc. Com.'!$C$6" fmlaRange="'Calc. Com.'!$C$2:$C$5" noThreeD="1" sel="4" val="0"/>
</file>

<file path=xl/ctrlProps/ctrlProp33.xml><?xml version="1.0" encoding="utf-8"?>
<formControlPr xmlns="http://schemas.microsoft.com/office/spreadsheetml/2009/9/main" objectType="Drop" dropStyle="combo" dx="16" fmlaLink="'Calc. Resid.'!$C$6" fmlaRange="'Calc. Resid.'!$C$2:$C$5" noThreeD="1" sel="4" val="0"/>
</file>

<file path=xl/ctrlProps/ctrlProp34.xml><?xml version="1.0" encoding="utf-8"?>
<formControlPr xmlns="http://schemas.microsoft.com/office/spreadsheetml/2009/9/main" objectType="Radio" firstButton="1" fmlaLink="$I$14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Drop" dropStyle="combo" dx="16" fmlaLink="$L$9" fmlaRange="$J$9:$J$11" noThreeD="1" sel="3" val="0"/>
</file>

<file path=xl/ctrlProps/ctrlProp37.xml><?xml version="1.0" encoding="utf-8"?>
<formControlPr xmlns="http://schemas.microsoft.com/office/spreadsheetml/2009/9/main" objectType="Drop" dropStyle="combo" dx="16" fmlaLink="$J$20" fmlaRange="$J$16:$J$18" noThreeD="1" sel="3" val="0"/>
</file>

<file path=xl/ctrlProps/ctrlProp38.xml><?xml version="1.0" encoding="utf-8"?>
<formControlPr xmlns="http://schemas.microsoft.com/office/spreadsheetml/2009/9/main" objectType="Drop" dropStyle="combo" dx="15" fmlaLink="$I$3" fmlaRange="$J$3:$J$7" noThreeD="1" sel="5" val="0"/>
</file>

<file path=xl/ctrlProps/ctrlProp4.xml><?xml version="1.0" encoding="utf-8"?>
<formControlPr xmlns="http://schemas.microsoft.com/office/spreadsheetml/2009/9/main" objectType="Drop" dropStyle="combo" dx="16" fmlaLink="'Calc. Com.'!$I$6" fmlaRange="'Calc. Com.'!$I$2:$I$5" noThreeD="1" sel="4" val="0"/>
</file>

<file path=xl/ctrlProps/ctrlProp5.xml><?xml version="1.0" encoding="utf-8"?>
<formControlPr xmlns="http://schemas.microsoft.com/office/spreadsheetml/2009/9/main" objectType="Drop" dropStyle="combo" dx="16" fmlaLink="'Calc. Pav.'!$C$6" fmlaRange="'Calc. Pav.'!$C$2:$C$4" noThreeD="1" sel="3" val="0"/>
</file>

<file path=xl/ctrlProps/ctrlProp6.xml><?xml version="1.0" encoding="utf-8"?>
<formControlPr xmlns="http://schemas.microsoft.com/office/spreadsheetml/2009/9/main" objectType="Drop" dropStyle="combo" dx="16" fmlaLink="'Calc. Resid.'!$G$6" fmlaRange="'Calc. Resid.'!$G$2:$G$5" noThreeD="1" sel="4" val="0"/>
</file>

<file path=xl/ctrlProps/ctrlProp7.xml><?xml version="1.0" encoding="utf-8"?>
<formControlPr xmlns="http://schemas.microsoft.com/office/spreadsheetml/2009/9/main" objectType="Drop" dropStyle="combo" dx="16" fmlaLink="'Calc. Resid.'!$H$6" fmlaRange="'Calc. Resid.'!$H$2:$H$5" noThreeD="1" sel="4" val="0"/>
</file>

<file path=xl/ctrlProps/ctrlProp8.xml><?xml version="1.0" encoding="utf-8"?>
<formControlPr xmlns="http://schemas.microsoft.com/office/spreadsheetml/2009/9/main" objectType="Drop" dropStyle="combo" dx="16" fmlaLink="'Calc. Com.'!$D$6" fmlaRange="'Calc. Com.'!$D$2:$D$5" noThreeD="1" sel="4" val="0"/>
</file>

<file path=xl/ctrlProps/ctrlProp9.xml><?xml version="1.0" encoding="utf-8"?>
<formControlPr xmlns="http://schemas.microsoft.com/office/spreadsheetml/2009/9/main" objectType="Drop" dropStyle="combo" dx="16" fmlaLink="'Calc. Com.'!$B$6" fmlaRange="'Calc. Com.'!$B$2:$B$5" noThreeD="1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Memorial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HOME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19050</xdr:rowOff>
    </xdr:from>
    <xdr:to>
      <xdr:col>4</xdr:col>
      <xdr:colOff>1400174</xdr:colOff>
      <xdr:row>6</xdr:row>
      <xdr:rowOff>171451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457200" y="209550"/>
          <a:ext cx="4229099" cy="1104901"/>
          <a:chOff x="76200" y="66675"/>
          <a:chExt cx="3686381" cy="964277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66675"/>
            <a:ext cx="951074" cy="914400"/>
          </a:xfrm>
          <a:prstGeom prst="rect">
            <a:avLst/>
          </a:prstGeom>
        </xdr:spPr>
      </xdr:pic>
      <xdr:sp macro="" textlink="">
        <xdr:nvSpPr>
          <xdr:cNvPr id="2" name="CaixaDeText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1114424" y="114301"/>
            <a:ext cx="2648157" cy="916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 b="1"/>
              <a:t>Prefeitura</a:t>
            </a:r>
            <a:r>
              <a:rPr lang="pt-BR" sz="1100" b="1" baseline="0"/>
              <a:t> Municipal de Campo Bom</a:t>
            </a:r>
          </a:p>
          <a:p>
            <a:r>
              <a:rPr lang="pt-BR" sz="1100" b="1" baseline="0"/>
              <a:t>Estado do Rio Grande do Sul</a:t>
            </a:r>
          </a:p>
          <a:p>
            <a:r>
              <a:rPr lang="pt-BR" sz="1100" b="1" baseline="0"/>
              <a:t>Secretaria de Finanças</a:t>
            </a:r>
          </a:p>
          <a:p>
            <a:r>
              <a:rPr lang="pt-BR" sz="1100" b="1" baseline="0"/>
              <a:t>Lei Municipal 2.397/2002</a:t>
            </a:r>
          </a:p>
          <a:p>
            <a:r>
              <a:rPr lang="pt-BR" sz="1100" b="1" baseline="0"/>
              <a:t>Decretos Municipais n° 6.545/2018 e 7.701/2025</a:t>
            </a:r>
          </a:p>
        </xdr:txBody>
      </xdr:sp>
    </xdr:grpSp>
    <xdr:clientData/>
  </xdr:twoCellAnchor>
  <xdr:twoCellAnchor>
    <xdr:from>
      <xdr:col>4</xdr:col>
      <xdr:colOff>0</xdr:colOff>
      <xdr:row>24</xdr:row>
      <xdr:rowOff>0</xdr:rowOff>
    </xdr:from>
    <xdr:to>
      <xdr:col>5</xdr:col>
      <xdr:colOff>0</xdr:colOff>
      <xdr:row>25</xdr:row>
      <xdr:rowOff>95250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84231" y="3883269"/>
          <a:ext cx="1524000" cy="2857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Preencher</a:t>
          </a:r>
          <a:r>
            <a:rPr lang="pt-BR" sz="1100" b="1" baseline="0"/>
            <a:t> Memorial</a:t>
          </a:r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36865" name="Drop Dow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1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36867" name="Drop Down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1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36874" name="Drop Down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1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36876" name="Drop Down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1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36883" name="Drop Down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1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36886" name="Drop Down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1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36887" name="Drop Down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1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36889" name="Drop Down 25" hidden="1">
              <a:extLst>
                <a:ext uri="{63B3BB69-23CF-44E3-9099-C40C66FF867C}">
                  <a14:compatExt spid="_x0000_s36889"/>
                </a:ext>
                <a:ext uri="{FF2B5EF4-FFF2-40B4-BE49-F238E27FC236}">
                  <a16:creationId xmlns:a16="http://schemas.microsoft.com/office/drawing/2014/main" id="{00000000-0008-0000-0100-00001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36891" name="Drop Down 27" hidden="1">
              <a:extLst>
                <a:ext uri="{63B3BB69-23CF-44E3-9099-C40C66FF867C}">
                  <a14:compatExt spid="_x0000_s36891"/>
                </a:ext>
                <a:ext uri="{FF2B5EF4-FFF2-40B4-BE49-F238E27FC236}">
                  <a16:creationId xmlns:a16="http://schemas.microsoft.com/office/drawing/2014/main" id="{00000000-0008-0000-0100-00001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36893" name="Drop Down 29" hidden="1">
              <a:extLst>
                <a:ext uri="{63B3BB69-23CF-44E3-9099-C40C66FF867C}">
                  <a14:compatExt spid="_x0000_s36893"/>
                </a:ext>
                <a:ext uri="{FF2B5EF4-FFF2-40B4-BE49-F238E27FC236}">
                  <a16:creationId xmlns:a16="http://schemas.microsoft.com/office/drawing/2014/main" id="{00000000-0008-0000-0100-00001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36896" name="Drop Down 32" hidden="1">
              <a:extLst>
                <a:ext uri="{63B3BB69-23CF-44E3-9099-C40C66FF867C}">
                  <a14:compatExt spid="_x0000_s36896"/>
                </a:ext>
                <a:ext uri="{FF2B5EF4-FFF2-40B4-BE49-F238E27FC236}">
                  <a16:creationId xmlns:a16="http://schemas.microsoft.com/office/drawing/2014/main" id="{00000000-0008-0000-0100-00002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36898" name="Drop Down 34" hidden="1">
              <a:extLst>
                <a:ext uri="{63B3BB69-23CF-44E3-9099-C40C66FF867C}">
                  <a14:compatExt spid="_x0000_s36898"/>
                </a:ext>
                <a:ext uri="{FF2B5EF4-FFF2-40B4-BE49-F238E27FC236}">
                  <a16:creationId xmlns:a16="http://schemas.microsoft.com/office/drawing/2014/main" id="{00000000-0008-0000-0100-00002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36907" name="Drop Down 43" hidden="1">
              <a:extLst>
                <a:ext uri="{63B3BB69-23CF-44E3-9099-C40C66FF867C}">
                  <a14:compatExt spid="_x0000_s36907"/>
                </a:ext>
                <a:ext uri="{FF2B5EF4-FFF2-40B4-BE49-F238E27FC236}">
                  <a16:creationId xmlns:a16="http://schemas.microsoft.com/office/drawing/2014/main" id="{00000000-0008-0000-0100-00002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36866" name="Drop Dow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36869" name="Drop Down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1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36870" name="Drop Down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1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6878" name="Drop Down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1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36881" name="Drop Down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1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36884" name="Drop Down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1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36885" name="Drop Down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1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36888" name="Drop Down 24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1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36892" name="Drop Down 28" hidden="1">
              <a:extLst>
                <a:ext uri="{63B3BB69-23CF-44E3-9099-C40C66FF867C}">
                  <a14:compatExt spid="_x0000_s36892"/>
                </a:ext>
                <a:ext uri="{FF2B5EF4-FFF2-40B4-BE49-F238E27FC236}">
                  <a16:creationId xmlns:a16="http://schemas.microsoft.com/office/drawing/2014/main" id="{00000000-0008-0000-0100-00001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36894" name="Drop Down 30" hidden="1">
              <a:extLst>
                <a:ext uri="{63B3BB69-23CF-44E3-9099-C40C66FF867C}">
                  <a14:compatExt spid="_x0000_s36894"/>
                </a:ext>
                <a:ext uri="{FF2B5EF4-FFF2-40B4-BE49-F238E27FC236}">
                  <a16:creationId xmlns:a16="http://schemas.microsoft.com/office/drawing/2014/main" id="{00000000-0008-0000-0100-00001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36895" name="Drop Down 31" hidden="1">
              <a:extLst>
                <a:ext uri="{63B3BB69-23CF-44E3-9099-C40C66FF867C}">
                  <a14:compatExt spid="_x0000_s36895"/>
                </a:ext>
                <a:ext uri="{FF2B5EF4-FFF2-40B4-BE49-F238E27FC236}">
                  <a16:creationId xmlns:a16="http://schemas.microsoft.com/office/drawing/2014/main" id="{00000000-0008-0000-0100-00001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36897" name="Drop Down 33" hidden="1">
              <a:extLst>
                <a:ext uri="{63B3BB69-23CF-44E3-9099-C40C66FF867C}">
                  <a14:compatExt spid="_x0000_s36897"/>
                </a:ext>
                <a:ext uri="{FF2B5EF4-FFF2-40B4-BE49-F238E27FC236}">
                  <a16:creationId xmlns:a16="http://schemas.microsoft.com/office/drawing/2014/main" id="{00000000-0008-0000-0100-00002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36899" name="Drop Down 35" hidden="1">
              <a:extLst>
                <a:ext uri="{63B3BB69-23CF-44E3-9099-C40C66FF867C}">
                  <a14:compatExt spid="_x0000_s36899"/>
                </a:ext>
                <a:ext uri="{FF2B5EF4-FFF2-40B4-BE49-F238E27FC236}">
                  <a16:creationId xmlns:a16="http://schemas.microsoft.com/office/drawing/2014/main" id="{00000000-0008-0000-0100-00002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36900" name="Drop Down 36" hidden="1">
              <a:extLst>
                <a:ext uri="{63B3BB69-23CF-44E3-9099-C40C66FF867C}">
                  <a14:compatExt spid="_x0000_s36900"/>
                </a:ext>
                <a:ext uri="{FF2B5EF4-FFF2-40B4-BE49-F238E27FC236}">
                  <a16:creationId xmlns:a16="http://schemas.microsoft.com/office/drawing/2014/main" id="{00000000-0008-0000-0100-00002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36901" name="Drop Down 37" hidden="1">
              <a:extLst>
                <a:ext uri="{63B3BB69-23CF-44E3-9099-C40C66FF867C}">
                  <a14:compatExt spid="_x0000_s36901"/>
                </a:ext>
                <a:ext uri="{FF2B5EF4-FFF2-40B4-BE49-F238E27FC236}">
                  <a16:creationId xmlns:a16="http://schemas.microsoft.com/office/drawing/2014/main" id="{00000000-0008-0000-0100-00002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36902" name="Drop Down 38" hidden="1">
              <a:extLst>
                <a:ext uri="{63B3BB69-23CF-44E3-9099-C40C66FF867C}">
                  <a14:compatExt spid="_x0000_s36902"/>
                </a:ext>
                <a:ext uri="{FF2B5EF4-FFF2-40B4-BE49-F238E27FC236}">
                  <a16:creationId xmlns:a16="http://schemas.microsoft.com/office/drawing/2014/main" id="{00000000-0008-0000-0100-00002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36903" name="Drop Down 39" hidden="1">
              <a:extLst>
                <a:ext uri="{63B3BB69-23CF-44E3-9099-C40C66FF867C}">
                  <a14:compatExt spid="_x0000_s36903"/>
                </a:ext>
                <a:ext uri="{FF2B5EF4-FFF2-40B4-BE49-F238E27FC236}">
                  <a16:creationId xmlns:a16="http://schemas.microsoft.com/office/drawing/2014/main" id="{00000000-0008-0000-0100-00002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36904" name="Drop Down 40" hidden="1">
              <a:extLst>
                <a:ext uri="{63B3BB69-23CF-44E3-9099-C40C66FF867C}">
                  <a14:compatExt spid="_x0000_s36904"/>
                </a:ext>
                <a:ext uri="{FF2B5EF4-FFF2-40B4-BE49-F238E27FC236}">
                  <a16:creationId xmlns:a16="http://schemas.microsoft.com/office/drawing/2014/main" id="{00000000-0008-0000-0100-00002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36905" name="Drop Down 41" hidden="1">
              <a:extLst>
                <a:ext uri="{63B3BB69-23CF-44E3-9099-C40C66FF867C}">
                  <a14:compatExt spid="_x0000_s36905"/>
                </a:ext>
                <a:ext uri="{FF2B5EF4-FFF2-40B4-BE49-F238E27FC236}">
                  <a16:creationId xmlns:a16="http://schemas.microsoft.com/office/drawing/2014/main" id="{00000000-0008-0000-0100-00002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36906" name="Drop Down 42" hidden="1">
              <a:extLst>
                <a:ext uri="{63B3BB69-23CF-44E3-9099-C40C66FF867C}">
                  <a14:compatExt spid="_x0000_s36906"/>
                </a:ext>
                <a:ext uri="{FF2B5EF4-FFF2-40B4-BE49-F238E27FC236}">
                  <a16:creationId xmlns:a16="http://schemas.microsoft.com/office/drawing/2014/main" id="{00000000-0008-0000-0100-00002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83820</xdr:rowOff>
        </xdr:from>
        <xdr:to>
          <xdr:col>4</xdr:col>
          <xdr:colOff>1495425</xdr:colOff>
          <xdr:row>5</xdr:row>
          <xdr:rowOff>0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6048375" y="579120"/>
              <a:ext cx="1495425" cy="220980"/>
              <a:chOff x="6137910" y="571498"/>
              <a:chExt cx="1495425" cy="238125"/>
            </a:xfrm>
          </xdr:grpSpPr>
          <xdr:sp macro="" textlink="">
            <xdr:nvSpPr>
              <xdr:cNvPr id="36908" name="Option Button 44" hidden="1">
                <a:extLst>
                  <a:ext uri="{63B3BB69-23CF-44E3-9099-C40C66FF867C}">
                    <a14:compatExt spid="_x0000_s36908"/>
                  </a:ext>
                  <a:ext uri="{FF2B5EF4-FFF2-40B4-BE49-F238E27FC236}">
                    <a16:creationId xmlns:a16="http://schemas.microsoft.com/office/drawing/2014/main" id="{00000000-0008-0000-0100-00002C900000}"/>
                  </a:ext>
                </a:extLst>
              </xdr:cNvPr>
              <xdr:cNvSpPr/>
            </xdr:nvSpPr>
            <xdr:spPr bwMode="auto">
              <a:xfrm>
                <a:off x="6137910" y="571498"/>
                <a:ext cx="4762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SIM</a:t>
                </a:r>
              </a:p>
            </xdr:txBody>
          </xdr:sp>
          <xdr:sp macro="" textlink="">
            <xdr:nvSpPr>
              <xdr:cNvPr id="36909" name="Option Button 45" hidden="1">
                <a:extLst>
                  <a:ext uri="{63B3BB69-23CF-44E3-9099-C40C66FF867C}">
                    <a14:compatExt spid="_x0000_s36909"/>
                  </a:ext>
                  <a:ext uri="{FF2B5EF4-FFF2-40B4-BE49-F238E27FC236}">
                    <a16:creationId xmlns:a16="http://schemas.microsoft.com/office/drawing/2014/main" id="{00000000-0008-0000-0100-00002D900000}"/>
                  </a:ext>
                </a:extLst>
              </xdr:cNvPr>
              <xdr:cNvSpPr/>
            </xdr:nvSpPr>
            <xdr:spPr bwMode="auto">
              <a:xfrm>
                <a:off x="6995160" y="576262"/>
                <a:ext cx="63817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NÃO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9525</xdr:colOff>
          <xdr:row>29</xdr:row>
          <xdr:rowOff>0</xdr:rowOff>
        </xdr:to>
        <xdr:sp macro="" textlink="">
          <xdr:nvSpPr>
            <xdr:cNvPr id="36910" name="Drop Down 46" hidden="1">
              <a:extLst>
                <a:ext uri="{63B3BB69-23CF-44E3-9099-C40C66FF867C}">
                  <a14:compatExt spid="_x0000_s36910"/>
                </a:ext>
                <a:ext uri="{FF2B5EF4-FFF2-40B4-BE49-F238E27FC236}">
                  <a16:creationId xmlns:a16="http://schemas.microsoft.com/office/drawing/2014/main" id="{00000000-0008-0000-0100-00002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857250</xdr:colOff>
          <xdr:row>29</xdr:row>
          <xdr:rowOff>0</xdr:rowOff>
        </xdr:to>
        <xdr:sp macro="" textlink="">
          <xdr:nvSpPr>
            <xdr:cNvPr id="36911" name="Drop Down 47" hidden="1">
              <a:extLst>
                <a:ext uri="{63B3BB69-23CF-44E3-9099-C40C66FF867C}">
                  <a14:compatExt spid="_x0000_s36911"/>
                </a:ext>
                <a:ext uri="{FF2B5EF4-FFF2-40B4-BE49-F238E27FC236}">
                  <a16:creationId xmlns:a16="http://schemas.microsoft.com/office/drawing/2014/main" id="{00000000-0008-0000-0100-00002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36912" name="Drop Down 48" hidden="1">
              <a:extLst>
                <a:ext uri="{63B3BB69-23CF-44E3-9099-C40C66FF867C}">
                  <a14:compatExt spid="_x0000_s36912"/>
                </a:ext>
                <a:ext uri="{FF2B5EF4-FFF2-40B4-BE49-F238E27FC236}">
                  <a16:creationId xmlns:a16="http://schemas.microsoft.com/office/drawing/2014/main" id="{00000000-0008-0000-0100-00003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35769</xdr:colOff>
      <xdr:row>39</xdr:row>
      <xdr:rowOff>63011</xdr:rowOff>
    </xdr:from>
    <xdr:to>
      <xdr:col>1</xdr:col>
      <xdr:colOff>2192216</xdr:colOff>
      <xdr:row>43</xdr:row>
      <xdr:rowOff>85473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E51E759D-8008-1544-01A6-4E42E0D31278}"/>
            </a:ext>
          </a:extLst>
        </xdr:cNvPr>
        <xdr:cNvGrpSpPr/>
      </xdr:nvGrpSpPr>
      <xdr:grpSpPr>
        <a:xfrm>
          <a:off x="150069" y="6987686"/>
          <a:ext cx="2156447" cy="555862"/>
          <a:chOff x="7284294" y="7235336"/>
          <a:chExt cx="2156447" cy="555862"/>
        </a:xfrm>
      </xdr:grpSpPr>
      <xdr:pic>
        <xdr:nvPicPr>
          <xdr:cNvPr id="41" name="Imagem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294" y="7235336"/>
            <a:ext cx="606222" cy="555862"/>
          </a:xfrm>
          <a:prstGeom prst="rect">
            <a:avLst/>
          </a:prstGeom>
        </xdr:spPr>
      </xdr:pic>
      <xdr:sp macro="" textlink="">
        <xdr:nvSpPr>
          <xdr:cNvPr id="3" name="CaixaDeText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7916740" y="7379048"/>
            <a:ext cx="1524001" cy="2966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pt-BR" sz="600" b="1"/>
              <a:t>PREFEITURA MUNICIPAL</a:t>
            </a:r>
            <a:r>
              <a:rPr lang="pt-BR" sz="600" b="1" baseline="0"/>
              <a:t> DE CAMPO BOM</a:t>
            </a:r>
          </a:p>
          <a:p>
            <a:pPr algn="l"/>
            <a:r>
              <a:rPr lang="pt-BR" sz="600" b="1" baseline="0"/>
              <a:t>Estado do Rio Grande do Sul</a:t>
            </a:r>
            <a:endParaRPr lang="pt-BR" sz="600" b="1"/>
          </a:p>
        </xdr:txBody>
      </xdr:sp>
    </xdr:grp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304800</xdr:colOff>
      <xdr:row>3</xdr:row>
      <xdr:rowOff>95250</xdr:rowOff>
    </xdr:to>
    <xdr:sp macro="" textlink="">
      <xdr:nvSpPr>
        <xdr:cNvPr id="46" name="Retângulo 4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0334625" y="304800"/>
          <a:ext cx="1524000" cy="2857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200025</xdr:colOff>
      <xdr:row>45</xdr:row>
      <xdr:rowOff>142875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6A5698B-B5A6-799E-64B1-63DFBF2AE91F}"/>
            </a:ext>
          </a:extLst>
        </xdr:cNvPr>
        <xdr:cNvSpPr/>
      </xdr:nvSpPr>
      <xdr:spPr>
        <a:xfrm>
          <a:off x="0" y="0"/>
          <a:ext cx="12239625" cy="87153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238125</xdr:colOff>
      <xdr:row>39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17526000" cy="75723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277091</xdr:colOff>
      <xdr:row>39</xdr:row>
      <xdr:rowOff>34637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9178636" cy="7602682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542925</xdr:colOff>
      <xdr:row>32</xdr:row>
      <xdr:rowOff>57150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8848725" cy="62484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452437</xdr:colOff>
      <xdr:row>46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15954375" cy="89058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381000</xdr:colOff>
      <xdr:row>42</xdr:row>
      <xdr:rowOff>38100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30099000" cy="80391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duscon-rs.com.br/cub-r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omments" Target="../comments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7" tint="-0.499984740745262"/>
  </sheetPr>
  <dimension ref="A1:U44"/>
  <sheetViews>
    <sheetView tabSelected="1" topLeftCell="A10" zoomScaleNormal="100" workbookViewId="0">
      <selection activeCell="E22" sqref="E22:E23"/>
    </sheetView>
  </sheetViews>
  <sheetFormatPr defaultRowHeight="15" x14ac:dyDescent="0.25"/>
  <cols>
    <col min="1" max="1" width="1.42578125" customWidth="1"/>
    <col min="2" max="2" width="26.5703125" customWidth="1"/>
    <col min="3" max="3" width="12.140625" bestFit="1" customWidth="1"/>
    <col min="5" max="5" width="22.85546875" customWidth="1"/>
    <col min="6" max="6" width="5.140625" customWidth="1"/>
  </cols>
  <sheetData>
    <row r="1" spans="1:2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1" x14ac:dyDescent="0.25">
      <c r="A2" s="16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16"/>
      <c r="P2" s="16"/>
      <c r="Q2" s="16"/>
      <c r="R2" s="16"/>
      <c r="S2" s="16"/>
      <c r="T2" s="16"/>
    </row>
    <row r="3" spans="1:21" x14ac:dyDescent="0.25">
      <c r="A3" s="16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16"/>
      <c r="P3" s="16"/>
      <c r="Q3" s="16"/>
      <c r="R3" s="16"/>
      <c r="S3" s="16"/>
      <c r="T3" s="16"/>
    </row>
    <row r="4" spans="1:21" x14ac:dyDescent="0.25">
      <c r="A4" s="16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16"/>
      <c r="P4" s="16"/>
      <c r="Q4" s="16"/>
      <c r="R4" s="16"/>
      <c r="S4" s="16"/>
      <c r="T4" s="16"/>
    </row>
    <row r="5" spans="1:21" x14ac:dyDescent="0.25">
      <c r="A5" s="16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16"/>
      <c r="P5" s="16"/>
      <c r="Q5" s="16"/>
      <c r="R5" s="16"/>
      <c r="S5" s="16"/>
      <c r="T5" s="16"/>
    </row>
    <row r="6" spans="1:21" x14ac:dyDescent="0.25">
      <c r="A6" s="16"/>
      <c r="B6" s="15"/>
      <c r="C6" s="15"/>
      <c r="D6" s="15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1" x14ac:dyDescent="0.25">
      <c r="A7" s="16"/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1" x14ac:dyDescent="0.25">
      <c r="A8" s="16"/>
      <c r="B8" s="16"/>
      <c r="C8" s="116"/>
      <c r="D8" s="116"/>
      <c r="E8" s="1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1" x14ac:dyDescent="0.25">
      <c r="A9" s="16"/>
      <c r="B9" s="115" t="s">
        <v>138</v>
      </c>
      <c r="C9" s="115"/>
      <c r="D9" s="115"/>
      <c r="E9" s="1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1" x14ac:dyDescent="0.25">
      <c r="A10" s="16"/>
      <c r="B10" s="115"/>
      <c r="C10" s="115"/>
      <c r="D10" s="115"/>
      <c r="E10" s="1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1" ht="25.5" customHeight="1" x14ac:dyDescent="0.25">
      <c r="A11" s="16"/>
      <c r="B11" s="123" t="s">
        <v>207</v>
      </c>
      <c r="C11" s="123"/>
      <c r="D11" s="123"/>
      <c r="E11" s="123"/>
      <c r="F11" s="84" t="s">
        <v>206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1" ht="17.25" customHeight="1" x14ac:dyDescent="0.25">
      <c r="A12" s="16"/>
      <c r="B12" s="124" t="s">
        <v>128</v>
      </c>
      <c r="C12" s="125" t="s">
        <v>132</v>
      </c>
      <c r="D12" s="127" t="s">
        <v>129</v>
      </c>
      <c r="E12" s="14" t="s">
        <v>130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1" x14ac:dyDescent="0.25">
      <c r="A13" s="16"/>
      <c r="B13" s="124"/>
      <c r="C13" s="126"/>
      <c r="D13" s="128"/>
      <c r="E13" s="30" t="str">
        <f ca="1">UPPER(TEXT(TODAY(),"MMMM"))&amp; " - " &amp; YEAR(TODAY())</f>
        <v>FEVEREIRO - 2025</v>
      </c>
      <c r="F13" s="83" t="s">
        <v>206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25">
      <c r="A14" s="16"/>
      <c r="B14" s="120" t="s">
        <v>131</v>
      </c>
      <c r="C14" s="106" t="s">
        <v>125</v>
      </c>
      <c r="D14" s="106" t="s">
        <v>133</v>
      </c>
      <c r="E14" s="10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1" x14ac:dyDescent="0.25">
      <c r="A15" s="16"/>
      <c r="B15" s="120"/>
      <c r="C15" s="108" t="s">
        <v>126</v>
      </c>
      <c r="D15" s="108" t="s">
        <v>134</v>
      </c>
      <c r="E15" s="10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1" x14ac:dyDescent="0.25">
      <c r="A16" s="16"/>
      <c r="B16" s="121"/>
      <c r="C16" s="108" t="s">
        <v>127</v>
      </c>
      <c r="D16" s="108" t="s">
        <v>135</v>
      </c>
      <c r="E16" s="10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x14ac:dyDescent="0.25">
      <c r="A17" s="16"/>
      <c r="B17" s="109" t="s">
        <v>224</v>
      </c>
      <c r="C17" s="108" t="s">
        <v>126</v>
      </c>
      <c r="D17" s="108" t="s">
        <v>225</v>
      </c>
      <c r="E17" s="10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x14ac:dyDescent="0.25">
      <c r="A18" s="16"/>
      <c r="B18" s="129" t="s">
        <v>222</v>
      </c>
      <c r="C18" s="108" t="s">
        <v>126</v>
      </c>
      <c r="D18" s="108" t="s">
        <v>221</v>
      </c>
      <c r="E18" s="10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25">
      <c r="A19" s="16"/>
      <c r="B19" s="129"/>
      <c r="C19" s="108" t="s">
        <v>127</v>
      </c>
      <c r="D19" s="108" t="s">
        <v>223</v>
      </c>
      <c r="E19" s="10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x14ac:dyDescent="0.25">
      <c r="A20" s="16"/>
      <c r="B20" s="122" t="s">
        <v>136</v>
      </c>
      <c r="C20" s="122"/>
      <c r="D20" s="110" t="s">
        <v>111</v>
      </c>
      <c r="E20" s="10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x14ac:dyDescent="0.25">
      <c r="A21" s="16"/>
      <c r="B21" s="16"/>
      <c r="C21" s="16"/>
      <c r="D21" s="16"/>
      <c r="E21" s="70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x14ac:dyDescent="0.25">
      <c r="A22" s="16"/>
      <c r="B22" s="117" t="s">
        <v>231</v>
      </c>
      <c r="C22" s="118"/>
      <c r="D22" s="118"/>
      <c r="E22" s="119">
        <v>6.9634999999999998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x14ac:dyDescent="0.25">
      <c r="A23" s="16"/>
      <c r="B23" s="118"/>
      <c r="C23" s="118"/>
      <c r="D23" s="118"/>
      <c r="E23" s="11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x14ac:dyDescent="0.25">
      <c r="A26" s="16"/>
      <c r="B26" s="17"/>
      <c r="C26" s="17"/>
      <c r="D26" s="17"/>
      <c r="E26" s="1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1:20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25">
      <c r="B40" s="16"/>
      <c r="C40" s="16"/>
      <c r="D40" s="16"/>
      <c r="E40" s="16"/>
    </row>
    <row r="41" spans="1:20" x14ac:dyDescent="0.25">
      <c r="B41" s="16"/>
      <c r="C41" s="16"/>
      <c r="D41" s="16"/>
      <c r="E41" s="16"/>
    </row>
    <row r="42" spans="1:20" x14ac:dyDescent="0.25">
      <c r="B42" s="16"/>
      <c r="C42" s="16"/>
      <c r="D42" s="16"/>
      <c r="E42" s="16"/>
    </row>
    <row r="43" spans="1:20" x14ac:dyDescent="0.25">
      <c r="B43" s="16"/>
      <c r="C43" s="16"/>
      <c r="D43" s="16"/>
      <c r="E43" s="16"/>
    </row>
    <row r="44" spans="1:20" x14ac:dyDescent="0.25">
      <c r="B44" s="16"/>
      <c r="C44" s="16"/>
      <c r="D44" s="16"/>
      <c r="E44" s="16"/>
    </row>
  </sheetData>
  <sheetProtection sheet="1" objects="1" scenarios="1" selectLockedCells="1"/>
  <mergeCells count="11">
    <mergeCell ref="B9:E10"/>
    <mergeCell ref="C8:E8"/>
    <mergeCell ref="B22:D23"/>
    <mergeCell ref="E22:E23"/>
    <mergeCell ref="B14:B16"/>
    <mergeCell ref="B20:C20"/>
    <mergeCell ref="B11:E11"/>
    <mergeCell ref="B12:B13"/>
    <mergeCell ref="C12:C13"/>
    <mergeCell ref="D12:D13"/>
    <mergeCell ref="B18:B19"/>
  </mergeCells>
  <hyperlinks>
    <hyperlink ref="B11:E11" r:id="rId1" display="CUB - RS (Consulte o valor aqui)" xr:uid="{00000000-0004-0000-0000-000001000000}"/>
  </hyperlinks>
  <pageMargins left="0" right="0" top="0" bottom="0" header="0" footer="0"/>
  <pageSetup paperSize="9" orientation="portrait" horizontalDpi="0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rgb="FF002060"/>
  </sheetPr>
  <dimension ref="A1:T53"/>
  <sheetViews>
    <sheetView showGridLines="0" zoomScaleNormal="100" workbookViewId="0">
      <selection activeCell="I24" sqref="I24"/>
    </sheetView>
  </sheetViews>
  <sheetFormatPr defaultRowHeight="15" x14ac:dyDescent="0.25"/>
  <cols>
    <col min="1" max="1" width="1.7109375" customWidth="1"/>
    <col min="2" max="2" width="33.28515625" customWidth="1"/>
    <col min="3" max="5" width="27.85546875" customWidth="1"/>
    <col min="6" max="7" width="13" customWidth="1"/>
    <col min="9" max="9" width="5" customWidth="1"/>
  </cols>
  <sheetData>
    <row r="1" spans="2:20" x14ac:dyDescent="0.25">
      <c r="B1" s="135" t="s">
        <v>229</v>
      </c>
      <c r="C1" s="135"/>
      <c r="D1" s="135"/>
      <c r="E1" s="135"/>
      <c r="F1" s="135"/>
      <c r="G1" s="135"/>
      <c r="H1" s="76"/>
      <c r="I1" s="77"/>
      <c r="J1" s="77"/>
      <c r="K1" s="77"/>
      <c r="L1" s="77"/>
      <c r="M1" s="77"/>
      <c r="N1" s="77"/>
      <c r="O1" s="76"/>
      <c r="P1" s="76"/>
      <c r="Q1" s="76"/>
      <c r="R1" s="16"/>
      <c r="S1" s="16"/>
      <c r="T1" s="16"/>
    </row>
    <row r="2" spans="2:20" ht="9" customHeight="1" x14ac:dyDescent="0.25">
      <c r="B2" s="143" t="s">
        <v>170</v>
      </c>
      <c r="C2" s="143"/>
      <c r="D2" s="24" t="s">
        <v>165</v>
      </c>
      <c r="E2" s="24" t="s">
        <v>166</v>
      </c>
      <c r="F2" s="146" t="s">
        <v>79</v>
      </c>
      <c r="G2" s="146"/>
      <c r="H2" s="76"/>
      <c r="I2" s="77"/>
      <c r="J2" s="77"/>
      <c r="K2" s="77"/>
      <c r="L2" s="77"/>
      <c r="M2" s="77"/>
      <c r="N2" s="77"/>
      <c r="O2" s="76"/>
      <c r="P2" s="76"/>
      <c r="Q2" s="76"/>
      <c r="R2" s="16"/>
      <c r="S2" s="16"/>
      <c r="T2" s="16"/>
    </row>
    <row r="3" spans="2:20" x14ac:dyDescent="0.25">
      <c r="B3" s="142"/>
      <c r="C3" s="142"/>
      <c r="D3" s="72"/>
      <c r="E3" s="72"/>
      <c r="F3" s="147"/>
      <c r="G3" s="147"/>
      <c r="H3" s="76"/>
      <c r="I3" s="77">
        <v>5</v>
      </c>
      <c r="J3" s="77" t="s">
        <v>81</v>
      </c>
      <c r="K3" s="77"/>
      <c r="L3" s="77"/>
      <c r="M3" s="77"/>
      <c r="N3" s="77"/>
      <c r="O3" s="76"/>
      <c r="P3" s="76"/>
      <c r="Q3" s="76"/>
      <c r="R3" s="16"/>
      <c r="S3" s="16"/>
      <c r="T3" s="16"/>
    </row>
    <row r="4" spans="2:20" s="22" customFormat="1" ht="9" customHeight="1" x14ac:dyDescent="0.25">
      <c r="B4" s="143" t="s">
        <v>167</v>
      </c>
      <c r="C4" s="143"/>
      <c r="D4" s="69" t="s">
        <v>142</v>
      </c>
      <c r="E4" s="69" t="s">
        <v>141</v>
      </c>
      <c r="F4" s="136" t="s">
        <v>202</v>
      </c>
      <c r="G4" s="137"/>
      <c r="H4" s="78"/>
      <c r="I4" s="79"/>
      <c r="J4" s="79" t="s">
        <v>80</v>
      </c>
      <c r="K4" s="79"/>
      <c r="L4" s="79"/>
      <c r="M4" s="79"/>
      <c r="N4" s="79"/>
      <c r="O4" s="78"/>
      <c r="P4" s="78"/>
      <c r="Q4" s="78"/>
      <c r="R4" s="75"/>
      <c r="S4" s="75"/>
      <c r="T4" s="75"/>
    </row>
    <row r="5" spans="2:20" x14ac:dyDescent="0.25">
      <c r="B5" s="144"/>
      <c r="C5" s="145"/>
      <c r="D5" s="72"/>
      <c r="E5" s="19"/>
      <c r="F5" s="138">
        <f ca="1">TODAY()</f>
        <v>45702</v>
      </c>
      <c r="G5" s="139"/>
      <c r="H5" s="76"/>
      <c r="I5" s="77"/>
      <c r="J5" s="77" t="s">
        <v>176</v>
      </c>
      <c r="K5" s="77"/>
      <c r="L5" s="77"/>
      <c r="M5" s="77"/>
      <c r="N5" s="77"/>
      <c r="O5" s="76"/>
      <c r="P5" s="76"/>
      <c r="Q5" s="76"/>
      <c r="R5" s="16"/>
      <c r="S5" s="16"/>
      <c r="T5" s="16"/>
    </row>
    <row r="6" spans="2:20" ht="9" customHeight="1" x14ac:dyDescent="0.25">
      <c r="H6" s="76"/>
      <c r="I6" s="77"/>
      <c r="J6" s="77" t="s">
        <v>177</v>
      </c>
      <c r="K6" s="77"/>
      <c r="L6" s="77"/>
      <c r="M6" s="77"/>
      <c r="N6" s="77"/>
      <c r="O6" s="76"/>
      <c r="P6" s="76"/>
      <c r="Q6" s="76"/>
      <c r="R6" s="16"/>
      <c r="S6" s="16"/>
      <c r="T6" s="16"/>
    </row>
    <row r="7" spans="2:20" x14ac:dyDescent="0.25">
      <c r="B7" s="33" t="s">
        <v>168</v>
      </c>
      <c r="C7" s="30" t="s">
        <v>173</v>
      </c>
      <c r="D7" s="30" t="s">
        <v>174</v>
      </c>
      <c r="E7" s="30" t="s">
        <v>72</v>
      </c>
      <c r="F7" s="30" t="s">
        <v>17</v>
      </c>
      <c r="G7" s="30" t="s">
        <v>175</v>
      </c>
      <c r="H7" s="76"/>
      <c r="I7" s="82" t="s">
        <v>206</v>
      </c>
      <c r="J7" s="77"/>
      <c r="K7" s="77"/>
      <c r="L7" s="77"/>
      <c r="M7" s="77"/>
      <c r="N7" s="77"/>
      <c r="O7" s="76"/>
      <c r="P7" s="76"/>
      <c r="Q7" s="76"/>
      <c r="R7" s="16"/>
      <c r="S7" s="16"/>
      <c r="T7" s="16"/>
    </row>
    <row r="8" spans="2:20" x14ac:dyDescent="0.25">
      <c r="B8" s="33" t="s">
        <v>230</v>
      </c>
      <c r="C8" s="73"/>
      <c r="D8" s="73"/>
      <c r="E8" s="73"/>
      <c r="F8" s="74"/>
      <c r="G8" s="74"/>
      <c r="H8" s="76"/>
      <c r="I8" s="77"/>
      <c r="J8" s="77"/>
      <c r="K8" s="77"/>
      <c r="L8" s="77"/>
      <c r="M8" s="77"/>
      <c r="N8" s="77"/>
      <c r="O8" s="76"/>
      <c r="P8" s="76"/>
      <c r="Q8" s="76"/>
      <c r="R8" s="16"/>
      <c r="S8" s="16"/>
      <c r="T8" s="16"/>
    </row>
    <row r="9" spans="2:20" x14ac:dyDescent="0.25">
      <c r="B9" s="23" t="s">
        <v>147</v>
      </c>
      <c r="C9" s="19"/>
      <c r="D9" s="19"/>
      <c r="E9" s="18"/>
      <c r="F9" s="39"/>
      <c r="G9" s="39"/>
      <c r="H9" s="86"/>
      <c r="I9" s="77"/>
      <c r="J9" s="77" t="s">
        <v>145</v>
      </c>
      <c r="K9" s="77"/>
      <c r="L9" s="77">
        <v>3</v>
      </c>
      <c r="M9" s="77"/>
      <c r="N9" s="77"/>
      <c r="O9" s="76"/>
      <c r="P9" s="76"/>
      <c r="Q9" s="76"/>
      <c r="R9" s="16"/>
      <c r="S9" s="16"/>
      <c r="T9" s="16"/>
    </row>
    <row r="10" spans="2:20" x14ac:dyDescent="0.25">
      <c r="B10" s="23" t="s">
        <v>148</v>
      </c>
      <c r="C10" s="19"/>
      <c r="D10" s="19"/>
      <c r="E10" s="18"/>
      <c r="F10" s="39"/>
      <c r="G10" s="39"/>
      <c r="H10" s="86"/>
      <c r="I10" s="77"/>
      <c r="J10" s="77" t="s">
        <v>146</v>
      </c>
      <c r="K10" s="77"/>
      <c r="L10" s="77"/>
      <c r="M10" s="77"/>
      <c r="N10" s="77"/>
      <c r="O10" s="76"/>
      <c r="P10" s="76"/>
      <c r="Q10" s="76"/>
      <c r="R10" s="16"/>
      <c r="S10" s="16"/>
      <c r="T10" s="16"/>
    </row>
    <row r="11" spans="2:20" x14ac:dyDescent="0.25">
      <c r="B11" s="23" t="s">
        <v>149</v>
      </c>
      <c r="C11" s="26"/>
      <c r="D11" s="26"/>
      <c r="E11" s="27"/>
      <c r="F11" s="39"/>
      <c r="G11" s="39"/>
      <c r="H11" s="86"/>
      <c r="I11" s="77"/>
      <c r="J11" s="77"/>
      <c r="K11" s="77"/>
      <c r="L11" s="77"/>
      <c r="M11" s="77"/>
      <c r="N11" s="77"/>
      <c r="O11" s="76"/>
      <c r="P11" s="76"/>
      <c r="Q11" s="76"/>
      <c r="R11" s="16"/>
      <c r="S11" s="16"/>
      <c r="T11" s="16"/>
    </row>
    <row r="12" spans="2:20" ht="7.9" customHeight="1" x14ac:dyDescent="0.25">
      <c r="B12" s="140" t="s">
        <v>164</v>
      </c>
      <c r="C12" s="19"/>
      <c r="D12" s="19"/>
      <c r="E12" s="141"/>
      <c r="F12" s="133"/>
      <c r="G12" s="133"/>
      <c r="H12" s="86"/>
      <c r="I12" s="77"/>
      <c r="J12" s="77"/>
      <c r="K12" s="77"/>
      <c r="L12" s="77"/>
      <c r="M12" s="77"/>
      <c r="N12" s="77"/>
      <c r="O12" s="76"/>
      <c r="P12" s="76"/>
      <c r="Q12" s="76"/>
      <c r="R12" s="16"/>
      <c r="S12" s="16"/>
      <c r="T12" s="16"/>
    </row>
    <row r="13" spans="2:20" ht="7.9" customHeight="1" x14ac:dyDescent="0.25">
      <c r="B13" s="140"/>
      <c r="C13" s="19"/>
      <c r="D13" s="18"/>
      <c r="E13" s="141"/>
      <c r="F13" s="134"/>
      <c r="G13" s="134"/>
      <c r="H13" s="86"/>
      <c r="I13" s="77"/>
      <c r="J13" s="77"/>
      <c r="K13" s="77"/>
      <c r="L13" s="77"/>
      <c r="M13" s="77"/>
      <c r="N13" s="77"/>
      <c r="O13" s="76"/>
      <c r="P13" s="76"/>
      <c r="Q13" s="76"/>
      <c r="R13" s="16"/>
      <c r="S13" s="16"/>
      <c r="T13" s="16"/>
    </row>
    <row r="14" spans="2:20" x14ac:dyDescent="0.25">
      <c r="B14" s="25" t="s">
        <v>150</v>
      </c>
      <c r="C14" s="19"/>
      <c r="D14" s="19"/>
      <c r="E14" s="19"/>
      <c r="F14" s="39"/>
      <c r="G14" s="39"/>
      <c r="H14" s="86"/>
      <c r="I14" s="77">
        <v>2</v>
      </c>
      <c r="J14" s="77"/>
      <c r="K14" s="77"/>
      <c r="L14" s="77"/>
      <c r="M14" s="77"/>
      <c r="N14" s="77"/>
      <c r="O14" s="76"/>
      <c r="P14" s="76"/>
      <c r="Q14" s="76"/>
      <c r="R14" s="16"/>
      <c r="S14" s="16"/>
      <c r="T14" s="16"/>
    </row>
    <row r="15" spans="2:20" x14ac:dyDescent="0.25">
      <c r="B15" s="23" t="s">
        <v>205</v>
      </c>
      <c r="C15" s="28"/>
      <c r="D15" s="29"/>
      <c r="E15" s="29"/>
      <c r="F15" s="39"/>
      <c r="G15" s="39"/>
      <c r="H15" s="86"/>
      <c r="I15" s="77"/>
      <c r="J15" s="77"/>
      <c r="K15" s="77"/>
      <c r="L15" s="77"/>
      <c r="M15" s="77"/>
      <c r="N15" s="77"/>
      <c r="O15" s="76"/>
      <c r="P15" s="76"/>
      <c r="Q15" s="76"/>
      <c r="R15" s="16"/>
      <c r="S15" s="16"/>
      <c r="T15" s="16"/>
    </row>
    <row r="16" spans="2:20" x14ac:dyDescent="0.25">
      <c r="B16" s="23" t="s">
        <v>151</v>
      </c>
      <c r="C16" s="19"/>
      <c r="D16" s="19"/>
      <c r="E16" s="18"/>
      <c r="F16" s="39"/>
      <c r="G16" s="39"/>
      <c r="H16" s="86"/>
      <c r="I16" s="77"/>
      <c r="J16" s="77" t="s">
        <v>139</v>
      </c>
      <c r="K16" s="77"/>
      <c r="L16" s="77"/>
      <c r="M16" s="77"/>
      <c r="N16" s="77"/>
      <c r="O16" s="76"/>
      <c r="P16" s="76"/>
      <c r="Q16" s="76"/>
      <c r="R16" s="16"/>
      <c r="S16" s="16"/>
      <c r="T16" s="16"/>
    </row>
    <row r="17" spans="2:20" x14ac:dyDescent="0.25">
      <c r="B17" s="23" t="s">
        <v>152</v>
      </c>
      <c r="C17" s="19"/>
      <c r="D17" s="19"/>
      <c r="E17" s="18"/>
      <c r="F17" s="39"/>
      <c r="G17" s="39"/>
      <c r="H17" s="86"/>
      <c r="I17" s="77"/>
      <c r="J17" s="77" t="s">
        <v>140</v>
      </c>
      <c r="K17" s="77"/>
      <c r="L17" s="77"/>
      <c r="M17" s="77"/>
      <c r="N17" s="77"/>
      <c r="O17" s="76"/>
      <c r="P17" s="76"/>
      <c r="Q17" s="76"/>
      <c r="R17" s="16"/>
      <c r="S17" s="16"/>
      <c r="T17" s="16"/>
    </row>
    <row r="18" spans="2:20" x14ac:dyDescent="0.25">
      <c r="B18" s="23" t="s">
        <v>153</v>
      </c>
      <c r="C18" s="19"/>
      <c r="D18" s="19"/>
      <c r="E18" s="19"/>
      <c r="F18" s="39"/>
      <c r="G18" s="39"/>
      <c r="H18" s="86"/>
      <c r="I18" s="77"/>
      <c r="J18" s="77"/>
      <c r="K18" s="77"/>
      <c r="L18" s="77"/>
      <c r="M18" s="77"/>
      <c r="N18" s="77"/>
      <c r="O18" s="76"/>
      <c r="P18" s="76"/>
      <c r="Q18" s="76"/>
      <c r="R18" s="16"/>
      <c r="S18" s="16"/>
      <c r="T18" s="16"/>
    </row>
    <row r="19" spans="2:20" x14ac:dyDescent="0.25">
      <c r="B19" s="23" t="s">
        <v>154</v>
      </c>
      <c r="C19" s="19"/>
      <c r="D19" s="19"/>
      <c r="E19" s="19"/>
      <c r="F19" s="39"/>
      <c r="G19" s="39"/>
      <c r="H19" s="86"/>
      <c r="I19" s="77"/>
      <c r="J19" s="77"/>
      <c r="K19" s="77"/>
      <c r="L19" s="77"/>
      <c r="M19" s="77"/>
      <c r="N19" s="77"/>
      <c r="O19" s="76"/>
      <c r="P19" s="76"/>
      <c r="Q19" s="76"/>
      <c r="R19" s="16"/>
      <c r="S19" s="16"/>
      <c r="T19" s="16"/>
    </row>
    <row r="20" spans="2:20" ht="15" customHeight="1" x14ac:dyDescent="0.25">
      <c r="B20" s="23" t="s">
        <v>155</v>
      </c>
      <c r="C20" s="19"/>
      <c r="D20" s="19"/>
      <c r="E20" s="18"/>
      <c r="F20" s="39"/>
      <c r="G20" s="39"/>
      <c r="H20" s="86"/>
      <c r="I20" s="77"/>
      <c r="J20" s="77">
        <v>3</v>
      </c>
      <c r="K20" s="77"/>
      <c r="L20" s="77"/>
      <c r="M20" s="77"/>
      <c r="N20" s="77"/>
      <c r="O20" s="76"/>
      <c r="P20" s="76"/>
      <c r="Q20" s="76"/>
      <c r="R20" s="16"/>
      <c r="S20" s="16"/>
      <c r="T20" s="16"/>
    </row>
    <row r="21" spans="2:20" x14ac:dyDescent="0.25">
      <c r="B21" s="23" t="s">
        <v>163</v>
      </c>
      <c r="C21" s="19"/>
      <c r="D21" s="18"/>
      <c r="E21" s="18"/>
      <c r="F21" s="39"/>
      <c r="G21" s="39"/>
      <c r="H21" s="76"/>
      <c r="I21" s="77"/>
      <c r="J21" s="77"/>
      <c r="K21" s="77"/>
      <c r="L21" s="77"/>
      <c r="M21" s="77"/>
      <c r="N21" s="77"/>
      <c r="O21" s="76"/>
      <c r="P21" s="76"/>
      <c r="Q21" s="76"/>
      <c r="R21" s="16"/>
      <c r="S21" s="16"/>
      <c r="T21" s="16"/>
    </row>
    <row r="22" spans="2:20" x14ac:dyDescent="0.25">
      <c r="B22" s="23" t="s">
        <v>162</v>
      </c>
      <c r="C22" s="21"/>
      <c r="D22" s="19"/>
      <c r="E22" s="18"/>
      <c r="F22" s="39"/>
      <c r="G22" s="39"/>
      <c r="H22" s="76"/>
      <c r="I22" s="77"/>
      <c r="J22" s="77"/>
      <c r="K22" s="77"/>
      <c r="L22" s="77"/>
      <c r="M22" s="77"/>
      <c r="N22" s="77"/>
      <c r="O22" s="76"/>
      <c r="P22" s="76"/>
      <c r="Q22" s="76"/>
      <c r="R22" s="16"/>
      <c r="S22" s="16"/>
      <c r="T22" s="16"/>
    </row>
    <row r="23" spans="2:20" x14ac:dyDescent="0.25">
      <c r="B23" s="23" t="s">
        <v>156</v>
      </c>
      <c r="C23" s="21"/>
      <c r="D23" s="21"/>
      <c r="E23" s="20"/>
      <c r="F23" s="39"/>
      <c r="G23" s="39"/>
      <c r="H23" s="76"/>
      <c r="I23" s="77"/>
      <c r="J23" s="77"/>
      <c r="K23" s="77"/>
      <c r="L23" s="77"/>
      <c r="M23" s="77"/>
      <c r="N23" s="77"/>
      <c r="O23" s="76"/>
      <c r="P23" s="76"/>
      <c r="Q23" s="76"/>
      <c r="R23" s="16"/>
      <c r="S23" s="16"/>
      <c r="T23" s="16"/>
    </row>
    <row r="24" spans="2:20" x14ac:dyDescent="0.25">
      <c r="B24" s="23" t="s">
        <v>157</v>
      </c>
      <c r="C24" s="21"/>
      <c r="D24" s="21"/>
      <c r="E24" s="20"/>
      <c r="F24" s="39"/>
      <c r="G24" s="39"/>
      <c r="H24" s="76"/>
      <c r="I24" s="77"/>
      <c r="J24" s="77"/>
      <c r="K24" s="77"/>
      <c r="L24" s="77"/>
      <c r="M24" s="77"/>
      <c r="N24" s="77"/>
      <c r="O24" s="76"/>
      <c r="P24" s="76"/>
      <c r="Q24" s="76"/>
      <c r="R24" s="16"/>
      <c r="S24" s="16"/>
      <c r="T24" s="16"/>
    </row>
    <row r="25" spans="2:20" x14ac:dyDescent="0.25">
      <c r="B25" s="23" t="s">
        <v>158</v>
      </c>
      <c r="C25" s="21"/>
      <c r="D25" s="21"/>
      <c r="E25" s="20"/>
      <c r="F25" s="39"/>
      <c r="G25" s="39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16"/>
      <c r="S25" s="16"/>
      <c r="T25" s="16"/>
    </row>
    <row r="26" spans="2:20" x14ac:dyDescent="0.25">
      <c r="B26" s="23" t="s">
        <v>159</v>
      </c>
      <c r="C26" s="21"/>
      <c r="D26" s="21"/>
      <c r="E26" s="20"/>
      <c r="F26" s="39"/>
      <c r="G26" s="39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2:20" x14ac:dyDescent="0.25">
      <c r="B27" s="23" t="s">
        <v>160</v>
      </c>
      <c r="C27" s="21"/>
      <c r="D27" s="21"/>
      <c r="E27" s="20"/>
      <c r="F27" s="39"/>
      <c r="G27" s="39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x14ac:dyDescent="0.25">
      <c r="B28" s="23" t="s">
        <v>161</v>
      </c>
      <c r="C28" s="21"/>
      <c r="D28" s="21"/>
      <c r="E28" s="20"/>
      <c r="F28" s="39"/>
      <c r="G28" s="39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2:20" x14ac:dyDescent="0.25">
      <c r="B29" s="23" t="s">
        <v>172</v>
      </c>
      <c r="C29" s="21"/>
      <c r="D29" s="21"/>
      <c r="E29" s="21"/>
      <c r="F29" s="1"/>
      <c r="G29" s="1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2:20" x14ac:dyDescent="0.25">
      <c r="B30" s="111" t="s">
        <v>226</v>
      </c>
      <c r="C30" s="112" t="str">
        <f>IF(COUNTIF(C32,"*BAIXO*")=1,HOME!$E$14,
IF(COUNTIF(C32,"*MEDIO*")=1,HOME!$E$15,
IF(COUNTIF(C32,"*ALTO*")=1,HOME!$E$16,"")))</f>
        <v/>
      </c>
      <c r="D30" s="113" t="str">
        <f>IF(COUNTIF(D32,"*BAIXO*")=1,HOME!$E$18,
IF(COUNTIF(D32,"*MÉDIO*")=1,HOME!$E$19,
IF(COUNTIF(D32,"*ALTO*")=1,HOME!$E$17,"")))</f>
        <v/>
      </c>
      <c r="E30" s="113" t="str">
        <f>IF(E8&lt;&gt;"",HOME!$E$20,"")</f>
        <v/>
      </c>
      <c r="F30" s="113" t="str">
        <f>IF(COUNTIF(F32,"*NORMAL*")=1,HOME!$E$15,
IF(COUNTIF(F32,"*ALTO*")=1,HOME!$E$16,""))</f>
        <v/>
      </c>
      <c r="G30" s="113" t="str">
        <f>IF(G8&lt;&gt;"",HOME!$E$14,"")</f>
        <v/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0" x14ac:dyDescent="0.25">
      <c r="B31" s="111" t="s">
        <v>227</v>
      </c>
      <c r="C31" s="114" t="str">
        <f>IF(C32&lt;&gt;"",HOME!$E$22,"")</f>
        <v/>
      </c>
      <c r="D31" s="114" t="str">
        <f>IF(D32&lt;&gt;"",HOME!$E$22,"")</f>
        <v/>
      </c>
      <c r="E31" s="114" t="str">
        <f>IF(E32&lt;&gt;"",HOME!$E$22,"")</f>
        <v/>
      </c>
      <c r="F31" s="114" t="str">
        <f>IF(F32&lt;&gt;"",HOME!$E$22,"")</f>
        <v/>
      </c>
      <c r="G31" s="114" t="str">
        <f>IF(G32&lt;&gt;"",HOME!$E$22,"")</f>
        <v/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 x14ac:dyDescent="0.25">
      <c r="B32" s="33" t="s">
        <v>169</v>
      </c>
      <c r="C32" s="30" t="str">
        <f>IF('Calc. Resid.'!F29&gt;0,CONCATENATE('Calc. Resid.'!A29," - ",'Calc. Resid.'!E29),IF('Calc. Resid.'!F28&gt;0,CONCATENATE('Calc. Resid.'!A28," - ",'Calc. Resid.'!E28),IF('Calc. Resid.'!F27&gt;0,CONCATENATE("BAIXO"," - ",'Calc. Resid.'!E27),"")))</f>
        <v/>
      </c>
      <c r="D32" s="30" t="str">
        <f>IF('Calc. Com.'!F36&gt;0,CONCATENATE("ALTO"," - ",'Calc. Com.'!E36),IF('Calc. Com.'!F35&gt;0,CONCATENATE("MÉDIO"," - ",'Calc. Com.'!E35),IF('Calc. Com.'!F34&gt;0,CONCATENATE("BAIXO"," - ",'Calc. Com.'!E34),"")))</f>
        <v/>
      </c>
      <c r="E32" s="30" t="str">
        <f>IF('Calc. Pav.'!E35&gt;0,CONCATENATE("NORMAL"," - ",Cálculos!F32),IF('Calc. Pav.'!E34&gt;0,CONCATENATE("BAIXO"," - ",Cálculos!F31),""))</f>
        <v/>
      </c>
      <c r="F32" s="41" t="str">
        <f>IF(L9=1,"NORMAL",IF(L9=2,"ALTO",""))</f>
        <v/>
      </c>
      <c r="G32" s="41" t="str">
        <f>IF(J20=1,"BAIXO",IF(J20=2,"NORMAL",""))</f>
        <v/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0" ht="8.25" customHeight="1" x14ac:dyDescent="0.25">
      <c r="B33" s="40"/>
      <c r="C33" s="40"/>
      <c r="D33" s="40"/>
      <c r="E33" s="40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x14ac:dyDescent="0.25">
      <c r="B34" s="30" t="s">
        <v>83</v>
      </c>
      <c r="C34" s="64">
        <f>SUM(Cálculos!G13,Cálculos!J13)</f>
        <v>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x14ac:dyDescent="0.25">
      <c r="B35" s="30" t="s">
        <v>85</v>
      </c>
      <c r="C35" s="64">
        <f>IF(I14=1,15*HOME!E22,0)</f>
        <v>0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1:20" x14ac:dyDescent="0.25">
      <c r="B36" s="30" t="s">
        <v>86</v>
      </c>
      <c r="C36" s="65">
        <f>Cálculos!G19</f>
        <v>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1:20" x14ac:dyDescent="0.25">
      <c r="B37" s="30" t="s">
        <v>84</v>
      </c>
      <c r="C37" s="65">
        <f>IF(I3=2,5*HOME!E22,0)</f>
        <v>0</v>
      </c>
      <c r="E37" s="131" t="s">
        <v>203</v>
      </c>
      <c r="F37" s="131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1:20" x14ac:dyDescent="0.25">
      <c r="B38" s="30" t="s">
        <v>82</v>
      </c>
      <c r="C38" s="65">
        <f>Cálculos!G42</f>
        <v>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 x14ac:dyDescent="0.25">
      <c r="B39" s="33" t="s">
        <v>137</v>
      </c>
      <c r="C39" s="66">
        <f>SUM(C34:C38)</f>
        <v>0</v>
      </c>
      <c r="D39" s="67" t="s">
        <v>201</v>
      </c>
      <c r="E39" s="132"/>
      <c r="F39" s="132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x14ac:dyDescent="0.25">
      <c r="B40" s="40"/>
      <c r="C40" s="68"/>
      <c r="E40" s="131" t="s">
        <v>204</v>
      </c>
      <c r="F40" s="131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ht="9" customHeight="1" x14ac:dyDescent="0.25">
      <c r="B41" s="81"/>
      <c r="C41" s="81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ht="9" customHeight="1" x14ac:dyDescent="0.25">
      <c r="B42" s="80"/>
      <c r="C42" s="8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ht="9" customHeight="1" x14ac:dyDescent="0.25">
      <c r="B43" s="80"/>
      <c r="C43" s="80"/>
      <c r="D43" s="130" t="s">
        <v>228</v>
      </c>
      <c r="E43" s="130"/>
      <c r="F43" s="130"/>
      <c r="G43" s="130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0" ht="9" customHeight="1" x14ac:dyDescent="0.25">
      <c r="B44" s="80"/>
      <c r="C44" s="80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1:2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1:20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x14ac:dyDescent="0.25"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</sheetData>
  <sheetProtection sheet="1" selectLockedCells="1"/>
  <mergeCells count="17">
    <mergeCell ref="B1:G1"/>
    <mergeCell ref="F4:G4"/>
    <mergeCell ref="F5:G5"/>
    <mergeCell ref="G12:G13"/>
    <mergeCell ref="B12:B13"/>
    <mergeCell ref="E12:E13"/>
    <mergeCell ref="B3:C3"/>
    <mergeCell ref="B2:C2"/>
    <mergeCell ref="B4:C4"/>
    <mergeCell ref="B5:C5"/>
    <mergeCell ref="F2:G2"/>
    <mergeCell ref="F3:G3"/>
    <mergeCell ref="D43:G43"/>
    <mergeCell ref="E37:F37"/>
    <mergeCell ref="E39:F39"/>
    <mergeCell ref="E40:F40"/>
    <mergeCell ref="F12:F13"/>
  </mergeCells>
  <pageMargins left="0" right="0" top="0" bottom="0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Drop Down 3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7" name="Drop Down 5">
              <controlPr defaultSize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8" name="Drop Down 6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9" name="Drop Down 10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0" name="Drop Down 12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1" name="Drop Down 14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2" name="Drop Down 17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3" name="Drop Down 19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14" name="Drop Down 20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15" name="Drop Down 21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6" name="Drop Down 22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7" name="Drop Down 23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18" name="Drop Down 24">
              <controlPr defaultSize="0" autoLin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19" name="Drop Down 25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1" r:id="rId20" name="Drop Down 27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2" r:id="rId21" name="Drop Down 28">
              <controlPr defaultSize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3" r:id="rId22" name="Drop Down 29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4" r:id="rId23" name="Drop Down 30">
              <controlPr defaultSize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5" r:id="rId24" name="Drop Down 31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6" r:id="rId25" name="Drop Down 32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7" r:id="rId26" name="Drop Down 33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8" r:id="rId27" name="Drop Down 34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9" r:id="rId28" name="Drop Down 35">
              <controlPr defaultSize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0" r:id="rId29" name="Drop Down 36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1" r:id="rId30" name="Drop Down 37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2" r:id="rId31" name="Drop Down 38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3" r:id="rId32" name="Drop Down 3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4" r:id="rId33" name="Drop Down 40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5" r:id="rId34" name="Drop Down 41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6" r:id="rId35" name="Drop Down 42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7" r:id="rId36" name="Drop Down 43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8" r:id="rId37" name="Option Button 44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85725</xdr:rowOff>
                  </from>
                  <to>
                    <xdr:col>4</xdr:col>
                    <xdr:colOff>476250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9" r:id="rId38" name="Option Button 45">
              <controlPr defaultSize="0" autoFill="0" autoLine="0" autoPict="0">
                <anchor moveWithCells="1">
                  <from>
                    <xdr:col>4</xdr:col>
                    <xdr:colOff>857250</xdr:colOff>
                    <xdr:row>3</xdr:row>
                    <xdr:rowOff>85725</xdr:rowOff>
                  </from>
                  <to>
                    <xdr:col>4</xdr:col>
                    <xdr:colOff>1495425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0" r:id="rId39" name="Drop Down 46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1" r:id="rId40" name="Drop Down 47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857250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2" r:id="rId41" name="Drop Down 48">
              <controlPr defaultSize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J42"/>
  <sheetViews>
    <sheetView zoomScale="25" zoomScaleNormal="25" workbookViewId="0">
      <selection activeCell="C22" sqref="C22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0.42578125" customWidth="1"/>
    <col min="6" max="6" width="11.42578125" bestFit="1" customWidth="1"/>
    <col min="7" max="7" width="13.5703125" bestFit="1" customWidth="1"/>
    <col min="8" max="8" width="11.140625" customWidth="1"/>
    <col min="9" max="9" width="12.140625" customWidth="1"/>
    <col min="10" max="10" width="15.42578125" customWidth="1"/>
    <col min="11" max="11" width="11.42578125" bestFit="1" customWidth="1"/>
  </cols>
  <sheetData>
    <row r="1" spans="1:10" ht="15.75" x14ac:dyDescent="0.25">
      <c r="A1" s="149" t="s">
        <v>87</v>
      </c>
      <c r="B1" s="150"/>
      <c r="C1" s="150"/>
      <c r="D1" s="150"/>
      <c r="E1" s="38"/>
      <c r="F1" s="154" t="s">
        <v>171</v>
      </c>
      <c r="G1" s="155"/>
      <c r="H1" s="159"/>
      <c r="I1" s="160"/>
      <c r="J1" s="105"/>
    </row>
    <row r="2" spans="1:10" x14ac:dyDescent="0.25">
      <c r="A2" s="32" t="s">
        <v>88</v>
      </c>
      <c r="B2" s="32" t="s">
        <v>89</v>
      </c>
      <c r="C2" s="32" t="s">
        <v>90</v>
      </c>
      <c r="D2" s="32" t="s">
        <v>91</v>
      </c>
      <c r="E2" s="32" t="s">
        <v>0</v>
      </c>
      <c r="F2" s="32" t="s">
        <v>92</v>
      </c>
      <c r="G2" s="32" t="s">
        <v>93</v>
      </c>
      <c r="H2" s="87"/>
      <c r="I2" s="87"/>
      <c r="J2" s="87"/>
    </row>
    <row r="3" spans="1:10" x14ac:dyDescent="0.25">
      <c r="A3" s="1" t="s">
        <v>211</v>
      </c>
      <c r="B3" s="34">
        <v>15</v>
      </c>
      <c r="C3" s="34">
        <v>0</v>
      </c>
      <c r="D3" s="34">
        <v>0</v>
      </c>
      <c r="E3" s="161">
        <f>SUM(Memorial!C8,Memorial!F8,Memorial!G8)</f>
        <v>0</v>
      </c>
      <c r="F3" s="32">
        <f>IF($E$3&lt;=70,$E$3,0)</f>
        <v>0</v>
      </c>
      <c r="G3" s="35">
        <f>IF(F3=0,0,B3*HOME!$E$22)</f>
        <v>0</v>
      </c>
      <c r="H3" s="100"/>
      <c r="I3" s="88"/>
      <c r="J3" s="88"/>
    </row>
    <row r="4" spans="1:10" x14ac:dyDescent="0.25">
      <c r="A4" s="1" t="s">
        <v>212</v>
      </c>
      <c r="B4" s="34">
        <v>30</v>
      </c>
      <c r="C4" s="34">
        <v>0</v>
      </c>
      <c r="D4" s="34">
        <v>0</v>
      </c>
      <c r="E4" s="162"/>
      <c r="F4" s="32">
        <f>IF(AND($E$3&gt;70,E3&lt;=140),$E$3,0)</f>
        <v>0</v>
      </c>
      <c r="G4" s="35">
        <f>IF(F4=0,0,B4*HOME!$E$22)</f>
        <v>0</v>
      </c>
      <c r="H4" s="101"/>
      <c r="I4" s="102"/>
      <c r="J4" s="88"/>
    </row>
    <row r="5" spans="1:10" x14ac:dyDescent="0.25">
      <c r="A5" s="1" t="s">
        <v>213</v>
      </c>
      <c r="B5" s="34">
        <v>45</v>
      </c>
      <c r="C5" s="34">
        <v>0</v>
      </c>
      <c r="D5" s="34">
        <v>0</v>
      </c>
      <c r="E5" s="162"/>
      <c r="F5" s="32">
        <f>IF(AND($E$3&gt;140,E3&lt;=210),$E$3,0)</f>
        <v>0</v>
      </c>
      <c r="G5" s="35">
        <f>IF(F5=0,0,B5*HOME!$E$22)</f>
        <v>0</v>
      </c>
      <c r="H5" s="101"/>
      <c r="I5" s="88"/>
      <c r="J5" s="88"/>
    </row>
    <row r="6" spans="1:10" x14ac:dyDescent="0.25">
      <c r="A6" s="1" t="s">
        <v>214</v>
      </c>
      <c r="B6" s="34">
        <v>100</v>
      </c>
      <c r="C6" s="34">
        <v>0</v>
      </c>
      <c r="D6" s="34">
        <v>0</v>
      </c>
      <c r="E6" s="162"/>
      <c r="F6" s="32">
        <f>IF(AND($E$3&gt;210,E3&lt;=500),$E$3,0)</f>
        <v>0</v>
      </c>
      <c r="G6" s="35">
        <f>IF(F6=0,0,B6*HOME!$E$22)</f>
        <v>0</v>
      </c>
      <c r="H6" s="101"/>
      <c r="I6" s="88"/>
      <c r="J6" s="88"/>
    </row>
    <row r="7" spans="1:10" ht="15.75" thickBot="1" x14ac:dyDescent="0.3">
      <c r="A7" s="95" t="s">
        <v>215</v>
      </c>
      <c r="B7" s="96">
        <v>100</v>
      </c>
      <c r="C7" s="96">
        <v>0</v>
      </c>
      <c r="D7" s="96">
        <v>0.45</v>
      </c>
      <c r="E7" s="164"/>
      <c r="F7" s="32">
        <f>IF(E3&gt;500,$E$3,0)</f>
        <v>0</v>
      </c>
      <c r="G7" s="35">
        <f>IF(F7=0,0,B7*HOME!$E$22+((E3-500)*HOME!$E$22*D7))</f>
        <v>0</v>
      </c>
      <c r="H7" s="103"/>
      <c r="I7" s="104"/>
      <c r="J7" s="104"/>
    </row>
    <row r="8" spans="1:10" x14ac:dyDescent="0.25">
      <c r="A8" s="91" t="s">
        <v>216</v>
      </c>
      <c r="B8" s="92">
        <v>30</v>
      </c>
      <c r="C8" s="92">
        <v>0</v>
      </c>
      <c r="D8" s="92">
        <v>0</v>
      </c>
      <c r="E8" s="93"/>
      <c r="F8" s="97"/>
      <c r="G8" s="98"/>
      <c r="H8" s="165">
        <f>SUM(Memorial!D8:E8)</f>
        <v>0</v>
      </c>
      <c r="I8" s="99">
        <f>IF($H$8&lt;=100,$H$8,0)</f>
        <v>0</v>
      </c>
      <c r="J8" s="94">
        <f>IF(I8=0,0,B8*HOME!$E$22)</f>
        <v>0</v>
      </c>
    </row>
    <row r="9" spans="1:10" x14ac:dyDescent="0.25">
      <c r="A9" s="1" t="s">
        <v>217</v>
      </c>
      <c r="B9" s="34">
        <v>60</v>
      </c>
      <c r="C9" s="34">
        <v>0</v>
      </c>
      <c r="D9" s="34">
        <v>0</v>
      </c>
      <c r="E9" s="90"/>
      <c r="F9" s="87"/>
      <c r="G9" s="88"/>
      <c r="H9" s="165"/>
      <c r="I9" s="99">
        <f>IF(AND($H$8&gt;100,$H$8&lt;=200),$H$8,0)</f>
        <v>0</v>
      </c>
      <c r="J9" s="94">
        <f>IF(I9=0,0,B9*HOME!$E$22)</f>
        <v>0</v>
      </c>
    </row>
    <row r="10" spans="1:10" x14ac:dyDescent="0.25">
      <c r="A10" s="1" t="s">
        <v>218</v>
      </c>
      <c r="B10" s="34">
        <v>100</v>
      </c>
      <c r="C10" s="34">
        <v>0</v>
      </c>
      <c r="D10" s="34">
        <v>0</v>
      </c>
      <c r="E10" s="90"/>
      <c r="F10" s="87"/>
      <c r="G10" s="88"/>
      <c r="H10" s="165"/>
      <c r="I10" s="99">
        <f>IF(AND($H$8&gt;200,$H$8&lt;=500),$H$8,0)</f>
        <v>0</v>
      </c>
      <c r="J10" s="94">
        <f>IF(I10=0,0,B10*HOME!$E$22)</f>
        <v>0</v>
      </c>
    </row>
    <row r="11" spans="1:10" x14ac:dyDescent="0.25">
      <c r="A11" s="1" t="s">
        <v>219</v>
      </c>
      <c r="B11" s="34">
        <v>200</v>
      </c>
      <c r="C11" s="34">
        <v>0</v>
      </c>
      <c r="D11" s="34">
        <v>0</v>
      </c>
      <c r="E11" s="90"/>
      <c r="F11" s="87"/>
      <c r="G11" s="88"/>
      <c r="H11" s="165"/>
      <c r="I11" s="99">
        <f>IF(AND($H$8&gt;500,$H$8&lt;=1000),$H$8,0)</f>
        <v>0</v>
      </c>
      <c r="J11" s="94">
        <f>IF(I11=0,0,B11*HOME!$E$22)</f>
        <v>0</v>
      </c>
    </row>
    <row r="12" spans="1:10" x14ac:dyDescent="0.25">
      <c r="A12" s="1" t="s">
        <v>220</v>
      </c>
      <c r="B12" s="34">
        <v>300</v>
      </c>
      <c r="C12" s="34">
        <v>0</v>
      </c>
      <c r="D12" s="34">
        <v>0</v>
      </c>
      <c r="E12" s="90"/>
      <c r="F12" s="87"/>
      <c r="G12" s="88"/>
      <c r="H12" s="166"/>
      <c r="I12" s="99">
        <f>IF($H$8&gt;1000,$H$8,0)</f>
        <v>0</v>
      </c>
      <c r="J12" s="94">
        <f>IF(I12=0,0,B12*HOME!$E$22)</f>
        <v>0</v>
      </c>
    </row>
    <row r="13" spans="1:10" x14ac:dyDescent="0.25">
      <c r="A13" s="1"/>
      <c r="B13" s="34"/>
      <c r="C13" s="34"/>
      <c r="D13" s="151" t="s">
        <v>0</v>
      </c>
      <c r="E13" s="152"/>
      <c r="F13" s="153"/>
      <c r="G13" s="35">
        <f>SUM(G3:G12)</f>
        <v>0</v>
      </c>
      <c r="H13" s="35"/>
      <c r="I13" s="35"/>
      <c r="J13" s="35">
        <f>SUM(J8:J12)</f>
        <v>0</v>
      </c>
    </row>
    <row r="14" spans="1:10" ht="15.75" x14ac:dyDescent="0.25">
      <c r="A14" s="156" t="s">
        <v>99</v>
      </c>
      <c r="B14" s="157"/>
      <c r="C14" s="157"/>
      <c r="D14" s="157"/>
      <c r="E14" s="157"/>
      <c r="F14" s="157"/>
      <c r="G14" s="157"/>
      <c r="H14" s="157"/>
      <c r="I14" s="157"/>
      <c r="J14" s="158"/>
    </row>
    <row r="15" spans="1:10" x14ac:dyDescent="0.25">
      <c r="A15" s="32" t="s">
        <v>88</v>
      </c>
      <c r="B15" s="32" t="s">
        <v>89</v>
      </c>
      <c r="C15" s="32" t="s">
        <v>90</v>
      </c>
      <c r="D15" s="32" t="s">
        <v>91</v>
      </c>
      <c r="E15" s="32" t="s">
        <v>0</v>
      </c>
      <c r="F15" s="32" t="s">
        <v>92</v>
      </c>
      <c r="G15" s="32" t="s">
        <v>93</v>
      </c>
      <c r="H15" s="32"/>
      <c r="I15" s="32"/>
      <c r="J15" s="32"/>
    </row>
    <row r="16" spans="1:10" x14ac:dyDescent="0.25">
      <c r="A16" s="1" t="s">
        <v>208</v>
      </c>
      <c r="B16" s="34">
        <v>15</v>
      </c>
      <c r="C16" s="34">
        <v>0</v>
      </c>
      <c r="D16" s="34">
        <v>0</v>
      </c>
      <c r="E16" s="161">
        <f>SUM(Memorial!C8:G8)</f>
        <v>0</v>
      </c>
      <c r="F16" s="31">
        <f>IF(E16&lt;=200,E16,0)</f>
        <v>0</v>
      </c>
      <c r="G16" s="35">
        <f>IF(F16=0,0,HOME!E22*B16)</f>
        <v>0</v>
      </c>
      <c r="H16" s="35"/>
      <c r="I16" s="35"/>
      <c r="J16" s="1"/>
    </row>
    <row r="17" spans="1:10" x14ac:dyDescent="0.25">
      <c r="A17" s="1" t="s">
        <v>209</v>
      </c>
      <c r="B17" s="34">
        <v>30</v>
      </c>
      <c r="C17" s="34">
        <v>0</v>
      </c>
      <c r="D17" s="36">
        <v>0</v>
      </c>
      <c r="E17" s="162"/>
      <c r="F17" s="31">
        <f>IF(AND(E16&gt;200,E16&lt;=500),E16,0)</f>
        <v>0</v>
      </c>
      <c r="G17" s="37">
        <f>IF(F17=0,0,HOME!E22*B17)</f>
        <v>0</v>
      </c>
      <c r="H17" s="35"/>
      <c r="I17" s="35"/>
      <c r="J17" s="1"/>
    </row>
    <row r="18" spans="1:10" x14ac:dyDescent="0.25">
      <c r="A18" s="1" t="s">
        <v>210</v>
      </c>
      <c r="B18" s="34">
        <v>30</v>
      </c>
      <c r="C18" s="34">
        <v>0</v>
      </c>
      <c r="D18" s="36">
        <v>0.45</v>
      </c>
      <c r="E18" s="163"/>
      <c r="F18" s="85">
        <f>IF(AND(E16&gt;500),E16,0)</f>
        <v>0</v>
      </c>
      <c r="G18" s="37">
        <f>IF(F18=0,0,HOME!E22*B18+(HOME!E22*0.45*(F18-500)))</f>
        <v>0</v>
      </c>
      <c r="H18" s="37"/>
      <c r="I18" s="37"/>
      <c r="J18" s="89"/>
    </row>
    <row r="19" spans="1:10" x14ac:dyDescent="0.25">
      <c r="D19" s="148" t="s">
        <v>0</v>
      </c>
      <c r="E19" s="148"/>
      <c r="F19" s="148"/>
      <c r="G19" s="43">
        <f>SUM(G16:G18)</f>
        <v>0</v>
      </c>
      <c r="H19" s="43"/>
      <c r="I19" s="43"/>
      <c r="J19" s="43"/>
    </row>
    <row r="20" spans="1:10" ht="15.75" x14ac:dyDescent="0.25">
      <c r="A20" s="173" t="s">
        <v>184</v>
      </c>
      <c r="B20" s="173"/>
      <c r="C20" s="173"/>
      <c r="D20" s="173"/>
      <c r="E20" s="173"/>
      <c r="F20" s="173"/>
      <c r="G20" s="173"/>
      <c r="H20" s="173"/>
      <c r="I20" s="173"/>
      <c r="J20" s="173"/>
    </row>
    <row r="21" spans="1:10" x14ac:dyDescent="0.25">
      <c r="A21" s="44" t="s">
        <v>183</v>
      </c>
      <c r="B21" s="44" t="s">
        <v>178</v>
      </c>
      <c r="C21" s="44" t="s">
        <v>179</v>
      </c>
      <c r="D21" s="44" t="s">
        <v>180</v>
      </c>
      <c r="E21" s="44" t="s">
        <v>181</v>
      </c>
      <c r="F21" s="44"/>
      <c r="G21" s="44"/>
      <c r="H21" s="44"/>
      <c r="I21" s="44"/>
      <c r="J21" s="44"/>
    </row>
    <row r="22" spans="1:10" x14ac:dyDescent="0.25">
      <c r="A22" s="1" t="s">
        <v>103</v>
      </c>
      <c r="B22" s="1" t="s">
        <v>115</v>
      </c>
      <c r="C22" s="52">
        <v>1</v>
      </c>
      <c r="D22" s="35">
        <f>HOME!E14*Cálculos!C22</f>
        <v>0</v>
      </c>
      <c r="E22" s="174">
        <f>SUM('Calc. Resid.'!A8:X8)</f>
        <v>0</v>
      </c>
      <c r="F22" s="53">
        <f>IF(E22&lt;=19,E22,0)</f>
        <v>0</v>
      </c>
      <c r="G22" s="56">
        <f>IF(F22&gt;0,Memorial!C8*D22*0.02,0)</f>
        <v>0</v>
      </c>
      <c r="H22" s="57"/>
      <c r="I22" s="60"/>
    </row>
    <row r="23" spans="1:10" x14ac:dyDescent="0.25">
      <c r="A23" s="1" t="s">
        <v>105</v>
      </c>
      <c r="B23" s="1" t="s">
        <v>182</v>
      </c>
      <c r="C23" s="52">
        <v>1</v>
      </c>
      <c r="D23" s="35">
        <f>HOME!E15*Cálculos!C23</f>
        <v>0</v>
      </c>
      <c r="E23" s="174"/>
      <c r="F23" s="53">
        <f>IF(AND(E22&gt;19,E22&lt;=32),SUM(E22),0)</f>
        <v>0</v>
      </c>
      <c r="G23" s="56">
        <f>IF(F23&gt;0,Memorial!C8*D23*0.02,0)</f>
        <v>0</v>
      </c>
      <c r="H23" s="57"/>
      <c r="I23" s="60"/>
    </row>
    <row r="24" spans="1:10" x14ac:dyDescent="0.25">
      <c r="A24" s="1" t="s">
        <v>104</v>
      </c>
      <c r="B24" s="1" t="s">
        <v>108</v>
      </c>
      <c r="C24" s="52">
        <v>1.2</v>
      </c>
      <c r="D24" s="35">
        <f>HOME!E16*Cálculos!C24</f>
        <v>0</v>
      </c>
      <c r="E24" s="174"/>
      <c r="F24" s="53">
        <f>IF(E22&gt;32,E22,0)</f>
        <v>0</v>
      </c>
      <c r="G24" s="56">
        <f>IF(F24&gt;0,Memorial!C8*D24*0.02,0)</f>
        <v>0</v>
      </c>
      <c r="H24" s="57"/>
      <c r="I24" s="62"/>
    </row>
    <row r="25" spans="1:10" ht="15.75" x14ac:dyDescent="0.25">
      <c r="A25" s="173" t="s">
        <v>185</v>
      </c>
      <c r="B25" s="173"/>
      <c r="C25" s="173"/>
      <c r="D25" s="173"/>
      <c r="E25" s="173"/>
      <c r="F25" s="173"/>
      <c r="G25" s="173"/>
      <c r="H25" s="173"/>
      <c r="I25" s="61"/>
      <c r="J25" s="55"/>
    </row>
    <row r="26" spans="1:10" ht="15.75" x14ac:dyDescent="0.25">
      <c r="A26" s="31" t="s">
        <v>183</v>
      </c>
      <c r="B26" s="31" t="s">
        <v>178</v>
      </c>
      <c r="C26" s="31" t="s">
        <v>179</v>
      </c>
      <c r="D26" s="31" t="s">
        <v>180</v>
      </c>
      <c r="E26" s="31" t="s">
        <v>181</v>
      </c>
      <c r="F26" s="54"/>
      <c r="G26" s="172"/>
      <c r="H26" s="172"/>
      <c r="I26" s="61"/>
    </row>
    <row r="27" spans="1:10" x14ac:dyDescent="0.25">
      <c r="A27" s="1" t="s">
        <v>103</v>
      </c>
      <c r="B27" s="1" t="s">
        <v>112</v>
      </c>
      <c r="C27" s="52">
        <v>1</v>
      </c>
      <c r="D27" s="35">
        <f>HOME!$E$18*C27</f>
        <v>0</v>
      </c>
      <c r="E27" s="174">
        <f>SUM('Calc. Com.'!A8:K8)</f>
        <v>0</v>
      </c>
      <c r="F27" s="53">
        <f>IF(E27&lt;=16,E27,0)</f>
        <v>0</v>
      </c>
      <c r="G27" s="56">
        <f>IF(F27&gt;0,Memorial!D8*D27*0.02,0)</f>
        <v>0</v>
      </c>
      <c r="H27" s="57"/>
      <c r="I27" s="62"/>
    </row>
    <row r="28" spans="1:10" x14ac:dyDescent="0.25">
      <c r="A28" s="1" t="s">
        <v>105</v>
      </c>
      <c r="B28" s="1" t="s">
        <v>113</v>
      </c>
      <c r="C28" s="52">
        <v>1</v>
      </c>
      <c r="D28" s="35">
        <f>HOME!$E$19*C28</f>
        <v>0</v>
      </c>
      <c r="E28" s="174"/>
      <c r="F28" s="53">
        <f>IF(AND(E27&gt;16,E27&lt;=27),E27,0)</f>
        <v>0</v>
      </c>
      <c r="G28" s="56">
        <f>IF(F28&gt;0,Memorial!D8*D28*0.02,0)</f>
        <v>0</v>
      </c>
      <c r="H28" s="57"/>
      <c r="I28" s="62"/>
    </row>
    <row r="29" spans="1:10" x14ac:dyDescent="0.25">
      <c r="A29" s="1" t="s">
        <v>104</v>
      </c>
      <c r="B29" s="1" t="s">
        <v>114</v>
      </c>
      <c r="C29" s="52">
        <v>1</v>
      </c>
      <c r="D29" s="35">
        <f>HOME!$E$17*C29</f>
        <v>0</v>
      </c>
      <c r="E29" s="174"/>
      <c r="F29" s="53">
        <f>IF(E27&gt;27,E27,0)</f>
        <v>0</v>
      </c>
      <c r="G29" s="56">
        <f>IF(F29&gt;0,Memorial!D8*D29*0.02,0)</f>
        <v>0</v>
      </c>
      <c r="H29" s="57"/>
      <c r="I29" s="62"/>
    </row>
    <row r="30" spans="1:10" ht="15.75" x14ac:dyDescent="0.25">
      <c r="A30" s="173" t="s">
        <v>186</v>
      </c>
      <c r="B30" s="173"/>
      <c r="C30" s="173"/>
      <c r="D30" s="173"/>
      <c r="E30" s="173"/>
      <c r="F30" s="173"/>
      <c r="G30" s="173"/>
      <c r="H30" s="173"/>
      <c r="I30" s="61"/>
      <c r="J30" s="55"/>
    </row>
    <row r="31" spans="1:10" x14ac:dyDescent="0.25">
      <c r="A31" s="1" t="s">
        <v>103</v>
      </c>
      <c r="B31" s="1" t="s">
        <v>106</v>
      </c>
      <c r="C31" s="52">
        <v>1</v>
      </c>
      <c r="D31" s="35">
        <f>HOME!E20*C31</f>
        <v>0</v>
      </c>
      <c r="E31" s="174">
        <f>SUM('Calc. Pav.'!A8:I8)</f>
        <v>0</v>
      </c>
      <c r="F31" s="53" t="str">
        <f>IF(E31&lt;=13,CONCATENATE(E31," pontos"),0)</f>
        <v>0 pontos</v>
      </c>
      <c r="G31" s="56">
        <f>IF(F31&gt;0,Memorial!E8*D31*0.02,0)</f>
        <v>0</v>
      </c>
      <c r="H31" s="57"/>
      <c r="I31" s="62"/>
    </row>
    <row r="32" spans="1:10" x14ac:dyDescent="0.25">
      <c r="A32" s="1" t="s">
        <v>110</v>
      </c>
      <c r="B32" s="1" t="s">
        <v>107</v>
      </c>
      <c r="C32" s="52">
        <v>1.3</v>
      </c>
      <c r="D32" s="35">
        <f>HOME!E20*C32</f>
        <v>0</v>
      </c>
      <c r="E32" s="174"/>
      <c r="F32" s="53">
        <f>IF(E31&gt;13,CONCATENATE(E31," pontos"),0)</f>
        <v>0</v>
      </c>
      <c r="G32" s="56">
        <f>IF(F32&gt;0,Memorial!E8*D32*0.02,0)</f>
        <v>0</v>
      </c>
      <c r="H32" s="57"/>
      <c r="I32" s="63"/>
    </row>
    <row r="33" spans="1:9" ht="15.75" x14ac:dyDescent="0.25">
      <c r="A33" s="173" t="s">
        <v>187</v>
      </c>
      <c r="B33" s="173"/>
      <c r="C33" s="173"/>
      <c r="D33" s="173"/>
      <c r="E33" s="173"/>
      <c r="F33" s="173"/>
      <c r="G33" s="173"/>
      <c r="H33" s="173"/>
      <c r="I33" s="61"/>
    </row>
    <row r="34" spans="1:9" ht="15.75" x14ac:dyDescent="0.25">
      <c r="A34" s="54"/>
      <c r="B34" s="54"/>
      <c r="C34" s="54"/>
      <c r="D34" s="54"/>
      <c r="E34" s="54"/>
      <c r="F34" s="172"/>
      <c r="G34" s="172"/>
      <c r="H34" s="1"/>
    </row>
    <row r="35" spans="1:9" x14ac:dyDescent="0.25">
      <c r="A35" s="47" t="s">
        <v>145</v>
      </c>
      <c r="B35" s="47"/>
      <c r="C35" s="48">
        <v>0.3</v>
      </c>
      <c r="D35" s="49">
        <f>HOME!E15*C35</f>
        <v>0</v>
      </c>
      <c r="E35" s="50"/>
      <c r="F35" s="51">
        <f>IF(Memorial!$L$9=1,Memorial!$F$8,0)</f>
        <v>0</v>
      </c>
      <c r="G35" s="58">
        <f>IF(AND(F35&gt;0,Memorial!L9=1),Memorial!F8*D35*0.02,0)</f>
        <v>0</v>
      </c>
      <c r="H35" s="59"/>
      <c r="I35" s="62"/>
    </row>
    <row r="36" spans="1:9" x14ac:dyDescent="0.25">
      <c r="A36" s="6" t="s">
        <v>146</v>
      </c>
      <c r="B36" s="6"/>
      <c r="C36" s="9">
        <v>0.5</v>
      </c>
      <c r="D36" s="10">
        <f>HOME!E16*C36</f>
        <v>0</v>
      </c>
      <c r="E36" s="42"/>
      <c r="F36" s="13">
        <f>IF(Memorial!$L$9=2,Memorial!$F$8,0)</f>
        <v>0</v>
      </c>
      <c r="G36" s="45">
        <f>IF(AND(F36&gt;0,Memorial!L9=2),Memorial!F8*D36*0.02,0)</f>
        <v>0</v>
      </c>
      <c r="H36" s="42"/>
      <c r="I36" s="62"/>
    </row>
    <row r="37" spans="1:9" ht="15.75" x14ac:dyDescent="0.25">
      <c r="A37" s="170" t="s">
        <v>188</v>
      </c>
      <c r="B37" s="171"/>
      <c r="C37" s="171"/>
      <c r="D37" s="171"/>
      <c r="E37" s="171"/>
      <c r="F37" s="171"/>
      <c r="G37" s="171"/>
      <c r="H37" s="171"/>
      <c r="I37" s="61"/>
    </row>
    <row r="38" spans="1:9" ht="15.75" x14ac:dyDescent="0.25">
      <c r="A38" s="11"/>
      <c r="B38" s="11"/>
      <c r="C38" s="11"/>
      <c r="D38" s="11"/>
      <c r="E38" s="12"/>
      <c r="F38" s="12"/>
      <c r="G38" s="168"/>
      <c r="H38" s="169"/>
      <c r="I38" s="61"/>
    </row>
    <row r="39" spans="1:9" x14ac:dyDescent="0.25">
      <c r="A39" s="6" t="s">
        <v>139</v>
      </c>
      <c r="B39" s="6"/>
      <c r="C39" s="9">
        <v>0.35</v>
      </c>
      <c r="D39" s="10">
        <f>HOME!E14*C39</f>
        <v>0</v>
      </c>
      <c r="E39" s="42"/>
      <c r="F39" s="13">
        <f>IF(Memorial!J20=1,Memorial!G8,0)</f>
        <v>0</v>
      </c>
      <c r="G39" s="45">
        <f>IF(AND(F39&gt;0,Memorial!J20=1),Memorial!G8*D39*0.02,0)</f>
        <v>0</v>
      </c>
      <c r="H39" s="42"/>
      <c r="I39" s="60"/>
    </row>
    <row r="40" spans="1:9" x14ac:dyDescent="0.25">
      <c r="A40" s="6" t="s">
        <v>140</v>
      </c>
      <c r="B40" s="6"/>
      <c r="C40" s="9">
        <v>0.5</v>
      </c>
      <c r="D40" s="10">
        <f>HOME!E14*C40</f>
        <v>0</v>
      </c>
      <c r="E40" s="42"/>
      <c r="F40" s="13">
        <f>IF(Memorial!J20=2,Memorial!G8,0)</f>
        <v>0</v>
      </c>
      <c r="G40" s="45">
        <f>IF(AND(F40&gt;0,Memorial!J20=2),Memorial!G8*D40*0.02,0)</f>
        <v>0</v>
      </c>
      <c r="H40" s="42"/>
      <c r="I40" s="60"/>
    </row>
    <row r="42" spans="1:9" x14ac:dyDescent="0.25">
      <c r="E42" s="132" t="s">
        <v>200</v>
      </c>
      <c r="F42" s="132"/>
      <c r="G42" s="167">
        <f>SUM(G22:G24,G27:G29,G31:G32,G35:G36,G39:G40)</f>
        <v>0</v>
      </c>
      <c r="H42" s="167"/>
    </row>
  </sheetData>
  <sheetProtection sheet="1" objects="1" selectLockedCells="1" selectUnlockedCells="1"/>
  <mergeCells count="22">
    <mergeCell ref="A20:J20"/>
    <mergeCell ref="E22:E24"/>
    <mergeCell ref="A33:H33"/>
    <mergeCell ref="E31:E32"/>
    <mergeCell ref="A30:H30"/>
    <mergeCell ref="E27:E29"/>
    <mergeCell ref="A25:H25"/>
    <mergeCell ref="G26:H26"/>
    <mergeCell ref="E42:F42"/>
    <mergeCell ref="G42:H42"/>
    <mergeCell ref="G38:H38"/>
    <mergeCell ref="A37:H37"/>
    <mergeCell ref="F34:G34"/>
    <mergeCell ref="D19:F19"/>
    <mergeCell ref="A1:D1"/>
    <mergeCell ref="D13:F13"/>
    <mergeCell ref="F1:G1"/>
    <mergeCell ref="A14:J14"/>
    <mergeCell ref="H1:I1"/>
    <mergeCell ref="E16:E18"/>
    <mergeCell ref="E3:E7"/>
    <mergeCell ref="H8:H1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>
    <tabColor rgb="FFFFC000"/>
  </sheetPr>
  <dimension ref="A1:K37"/>
  <sheetViews>
    <sheetView zoomScale="40" zoomScaleNormal="40" workbookViewId="0">
      <selection activeCell="E48" sqref="E48"/>
    </sheetView>
  </sheetViews>
  <sheetFormatPr defaultRowHeight="15" x14ac:dyDescent="0.25"/>
  <cols>
    <col min="1" max="1" width="22" bestFit="1" customWidth="1"/>
    <col min="2" max="2" width="20.140625" bestFit="1" customWidth="1"/>
    <col min="3" max="3" width="14.7109375" bestFit="1" customWidth="1"/>
    <col min="4" max="4" width="19.42578125" bestFit="1" customWidth="1"/>
    <col min="5" max="5" width="18.42578125" bestFit="1" customWidth="1"/>
    <col min="6" max="6" width="37" bestFit="1" customWidth="1"/>
    <col min="7" max="7" width="35.5703125" bestFit="1" customWidth="1"/>
    <col min="8" max="8" width="19.140625" bestFit="1" customWidth="1"/>
    <col min="9" max="9" width="22.140625" bestFit="1" customWidth="1"/>
    <col min="10" max="10" width="20.42578125" bestFit="1" customWidth="1"/>
    <col min="11" max="11" width="20.5703125" bestFit="1" customWidth="1"/>
  </cols>
  <sheetData>
    <row r="1" spans="1:11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</row>
    <row r="2" spans="1:11" x14ac:dyDescent="0.25">
      <c r="A2" s="1" t="s">
        <v>193</v>
      </c>
      <c r="B2" s="1" t="s">
        <v>192</v>
      </c>
      <c r="C2" s="1" t="s">
        <v>193</v>
      </c>
      <c r="D2" s="1" t="s">
        <v>118</v>
      </c>
      <c r="E2" s="1" t="s">
        <v>191</v>
      </c>
      <c r="F2" s="1" t="s">
        <v>197</v>
      </c>
      <c r="G2" s="1" t="s">
        <v>198</v>
      </c>
      <c r="H2" s="1" t="s">
        <v>47</v>
      </c>
      <c r="I2" s="1" t="s">
        <v>199</v>
      </c>
      <c r="J2" s="1" t="s">
        <v>30</v>
      </c>
      <c r="K2" s="1" t="s">
        <v>122</v>
      </c>
    </row>
    <row r="3" spans="1:11" x14ac:dyDescent="0.25">
      <c r="A3" s="1" t="s">
        <v>48</v>
      </c>
      <c r="B3" s="1" t="s">
        <v>2</v>
      </c>
      <c r="C3" s="1" t="s">
        <v>49</v>
      </c>
      <c r="D3" s="1" t="s">
        <v>117</v>
      </c>
      <c r="E3" s="1" t="s">
        <v>21</v>
      </c>
      <c r="F3" s="1" t="s">
        <v>50</v>
      </c>
      <c r="G3" s="1" t="s">
        <v>24</v>
      </c>
      <c r="H3" s="1" t="s">
        <v>51</v>
      </c>
      <c r="I3" s="1" t="s">
        <v>52</v>
      </c>
      <c r="J3" s="1" t="s">
        <v>39</v>
      </c>
      <c r="K3" s="1" t="s">
        <v>123</v>
      </c>
    </row>
    <row r="4" spans="1:11" x14ac:dyDescent="0.25">
      <c r="A4" s="1" t="s">
        <v>53</v>
      </c>
      <c r="B4" s="1" t="s">
        <v>14</v>
      </c>
      <c r="C4" s="1" t="s">
        <v>53</v>
      </c>
      <c r="D4" s="1" t="s">
        <v>116</v>
      </c>
      <c r="E4" s="1" t="s">
        <v>16</v>
      </c>
      <c r="F4" s="1" t="s">
        <v>16</v>
      </c>
      <c r="G4" s="1" t="s">
        <v>18</v>
      </c>
      <c r="H4" s="1" t="s">
        <v>195</v>
      </c>
      <c r="I4" s="1" t="s">
        <v>54</v>
      </c>
      <c r="J4" s="1" t="s">
        <v>38</v>
      </c>
      <c r="K4" s="1" t="s">
        <v>124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>
        <v>4</v>
      </c>
      <c r="B6">
        <v>4</v>
      </c>
      <c r="C6">
        <v>4</v>
      </c>
      <c r="D6">
        <v>4</v>
      </c>
      <c r="E6">
        <v>4</v>
      </c>
      <c r="F6">
        <v>4</v>
      </c>
      <c r="G6">
        <v>4</v>
      </c>
      <c r="H6">
        <v>4</v>
      </c>
      <c r="I6">
        <v>4</v>
      </c>
      <c r="J6">
        <v>4</v>
      </c>
      <c r="K6">
        <v>4</v>
      </c>
    </row>
    <row r="8" spans="1:11" x14ac:dyDescent="0.25">
      <c r="A8" s="1" t="str">
        <f>IF(A6=4,"",IF(A6=3,3,IF(A6=2,2,IF(A6=1,1))))</f>
        <v/>
      </c>
      <c r="B8" s="1" t="str">
        <f>IF(B6=4,"",IF(B6=3,3,IF(B6=2,2,IF(B6=1,1))))</f>
        <v/>
      </c>
      <c r="C8" s="1" t="str">
        <f t="shared" ref="C8:K8" si="0">IF(C6=4,"",IF(C6=3,3,IF(C6=2,2,IF(C6=1,1))))</f>
        <v/>
      </c>
      <c r="D8" s="1" t="str">
        <f t="shared" si="0"/>
        <v/>
      </c>
      <c r="E8" s="1" t="str">
        <f t="shared" si="0"/>
        <v/>
      </c>
      <c r="F8" s="1" t="str">
        <f t="shared" si="0"/>
        <v/>
      </c>
      <c r="G8" s="1" t="str">
        <f t="shared" si="0"/>
        <v/>
      </c>
      <c r="H8" s="1" t="str">
        <f t="shared" si="0"/>
        <v/>
      </c>
      <c r="I8" s="1" t="str">
        <f t="shared" si="0"/>
        <v/>
      </c>
      <c r="J8" s="1" t="str">
        <f t="shared" si="0"/>
        <v/>
      </c>
      <c r="K8" s="1" t="str">
        <f t="shared" si="0"/>
        <v/>
      </c>
    </row>
    <row r="9" spans="1:11" x14ac:dyDescent="0.25">
      <c r="A9" s="177" t="s">
        <v>83</v>
      </c>
      <c r="B9" s="177"/>
      <c r="C9" s="176">
        <f>F21</f>
        <v>0</v>
      </c>
      <c r="D9" s="177"/>
    </row>
    <row r="10" spans="1:11" x14ac:dyDescent="0.25">
      <c r="A10" s="177" t="s">
        <v>85</v>
      </c>
      <c r="B10" s="177"/>
      <c r="C10" s="176">
        <f>F26</f>
        <v>0</v>
      </c>
      <c r="D10" s="177"/>
    </row>
    <row r="11" spans="1:11" x14ac:dyDescent="0.25">
      <c r="A11" s="177" t="s">
        <v>86</v>
      </c>
      <c r="B11" s="177"/>
      <c r="C11" s="181">
        <f>F31</f>
        <v>0</v>
      </c>
      <c r="D11" s="177"/>
    </row>
    <row r="12" spans="1:11" x14ac:dyDescent="0.25">
      <c r="A12" s="177" t="s">
        <v>84</v>
      </c>
      <c r="B12" s="177"/>
      <c r="C12" s="180" t="e">
        <f>IF(#REF!=1,4.78*HOME!E22,0)</f>
        <v>#REF!</v>
      </c>
      <c r="D12" s="180"/>
    </row>
    <row r="13" spans="1:11" x14ac:dyDescent="0.25">
      <c r="A13" s="177" t="s">
        <v>82</v>
      </c>
      <c r="B13" s="177"/>
      <c r="C13" s="180">
        <f>F37</f>
        <v>0</v>
      </c>
      <c r="D13" s="180"/>
    </row>
    <row r="14" spans="1:11" ht="18.75" x14ac:dyDescent="0.3">
      <c r="A14" s="184" t="s">
        <v>109</v>
      </c>
      <c r="B14" s="184"/>
      <c r="C14" s="185" t="e">
        <f>SUM(C9:D13)</f>
        <v>#REF!</v>
      </c>
      <c r="D14" s="185"/>
    </row>
    <row r="15" spans="1:11" x14ac:dyDescent="0.25">
      <c r="C15" s="132"/>
      <c r="D15" s="132"/>
    </row>
    <row r="17" spans="1:7" ht="15.75" x14ac:dyDescent="0.25">
      <c r="A17" s="186" t="s">
        <v>87</v>
      </c>
      <c r="B17" s="186"/>
      <c r="C17" s="186"/>
      <c r="D17" s="186"/>
      <c r="E17" s="186"/>
      <c r="F17" s="186"/>
      <c r="G17" s="186"/>
    </row>
    <row r="18" spans="1:7" x14ac:dyDescent="0.25">
      <c r="A18" s="5" t="s">
        <v>88</v>
      </c>
      <c r="B18" s="5" t="s">
        <v>89</v>
      </c>
      <c r="C18" s="5" t="s">
        <v>90</v>
      </c>
      <c r="D18" s="5" t="s">
        <v>91</v>
      </c>
      <c r="E18" s="5" t="s">
        <v>92</v>
      </c>
      <c r="F18" s="179" t="s">
        <v>93</v>
      </c>
      <c r="G18" s="179"/>
    </row>
    <row r="19" spans="1:7" x14ac:dyDescent="0.25">
      <c r="A19" s="6" t="s">
        <v>94</v>
      </c>
      <c r="B19" s="7">
        <v>9.59</v>
      </c>
      <c r="C19" s="7">
        <v>80</v>
      </c>
      <c r="D19" s="7">
        <v>0.18</v>
      </c>
      <c r="E19" s="5">
        <f>IF(Memorial!D8&gt;80,Memorial!D8,0)</f>
        <v>0</v>
      </c>
      <c r="F19" s="180">
        <f>IF(E19=0,0,HOME!E22*'Calc. Resid.'!D12*(E19-80)+(HOME!E22*B19))</f>
        <v>0</v>
      </c>
      <c r="G19" s="180"/>
    </row>
    <row r="20" spans="1:7" x14ac:dyDescent="0.25">
      <c r="A20" s="6" t="s">
        <v>95</v>
      </c>
      <c r="B20" s="7">
        <v>9.59</v>
      </c>
      <c r="C20" s="7">
        <v>0</v>
      </c>
      <c r="D20" s="7">
        <v>0</v>
      </c>
      <c r="E20" s="5">
        <f>IF(Memorial!D8&lt;=80,Memorial!D8,"")</f>
        <v>0</v>
      </c>
      <c r="F20" s="180">
        <f>IF(E20=0,0,IF(E20&gt;80,"",B20*HOME!E22))</f>
        <v>0</v>
      </c>
      <c r="G20" s="180"/>
    </row>
    <row r="21" spans="1:7" x14ac:dyDescent="0.25">
      <c r="A21" s="6"/>
      <c r="B21" s="7"/>
      <c r="C21" s="7"/>
      <c r="D21" s="175" t="s">
        <v>0</v>
      </c>
      <c r="E21" s="175"/>
      <c r="F21" s="180">
        <f>SUM(F19:F20)</f>
        <v>0</v>
      </c>
      <c r="G21" s="180"/>
    </row>
    <row r="22" spans="1:7" ht="15.75" x14ac:dyDescent="0.25">
      <c r="A22" s="183" t="s">
        <v>96</v>
      </c>
      <c r="B22" s="183"/>
      <c r="C22" s="183"/>
      <c r="D22" s="183"/>
      <c r="E22" s="183"/>
      <c r="F22" s="183"/>
      <c r="G22" s="183"/>
    </row>
    <row r="23" spans="1:7" x14ac:dyDescent="0.25">
      <c r="A23" s="5" t="s">
        <v>88</v>
      </c>
      <c r="B23" s="5" t="s">
        <v>89</v>
      </c>
      <c r="C23" s="5" t="s">
        <v>90</v>
      </c>
      <c r="D23" s="5" t="s">
        <v>91</v>
      </c>
      <c r="E23" s="5" t="s">
        <v>92</v>
      </c>
      <c r="F23" s="179" t="s">
        <v>93</v>
      </c>
      <c r="G23" s="179"/>
    </row>
    <row r="24" spans="1:7" x14ac:dyDescent="0.25">
      <c r="A24" s="6" t="s">
        <v>97</v>
      </c>
      <c r="B24" s="7">
        <v>5.99</v>
      </c>
      <c r="C24" s="7">
        <v>12</v>
      </c>
      <c r="D24" s="7">
        <v>0.5</v>
      </c>
      <c r="E24" s="5">
        <f>IF(Memorial!D8&lt;=12,0,Memorial!D8)</f>
        <v>0</v>
      </c>
      <c r="F24" s="180">
        <f>IF(E24&lt;12,0,HOME!E22*D24*(E24-12)+(HOME!E22*B24))</f>
        <v>0</v>
      </c>
      <c r="G24" s="180"/>
    </row>
    <row r="25" spans="1:7" x14ac:dyDescent="0.25">
      <c r="A25" s="6" t="s">
        <v>98</v>
      </c>
      <c r="B25" s="7">
        <v>5.99</v>
      </c>
      <c r="C25" s="7">
        <v>0</v>
      </c>
      <c r="D25" s="7">
        <v>0</v>
      </c>
      <c r="E25" s="5">
        <f>IF(Memorial!D8&gt;12,"",Memorial!D8)</f>
        <v>0</v>
      </c>
      <c r="F25" s="180">
        <f>IF(E25=0,0,IF(E25&lt;=12,B25*HOME!E22,0))</f>
        <v>0</v>
      </c>
      <c r="G25" s="180"/>
    </row>
    <row r="26" spans="1:7" x14ac:dyDescent="0.25">
      <c r="A26" s="6"/>
      <c r="B26" s="7"/>
      <c r="C26" s="7"/>
      <c r="D26" s="175" t="s">
        <v>0</v>
      </c>
      <c r="E26" s="175"/>
      <c r="F26" s="180">
        <f>SUM(F24:F25)</f>
        <v>0</v>
      </c>
      <c r="G26" s="180"/>
    </row>
    <row r="27" spans="1:7" ht="15.75" x14ac:dyDescent="0.25">
      <c r="A27" s="178" t="s">
        <v>99</v>
      </c>
      <c r="B27" s="178"/>
      <c r="C27" s="178"/>
      <c r="D27" s="178"/>
      <c r="E27" s="178"/>
      <c r="F27" s="178"/>
      <c r="G27" s="178"/>
    </row>
    <row r="28" spans="1:7" x14ac:dyDescent="0.25">
      <c r="A28" s="5" t="s">
        <v>88</v>
      </c>
      <c r="B28" s="5" t="s">
        <v>89</v>
      </c>
      <c r="C28" s="5" t="s">
        <v>90</v>
      </c>
      <c r="D28" s="5" t="s">
        <v>91</v>
      </c>
      <c r="E28" s="5" t="s">
        <v>92</v>
      </c>
      <c r="F28" s="179" t="s">
        <v>93</v>
      </c>
      <c r="G28" s="179"/>
    </row>
    <row r="29" spans="1:7" x14ac:dyDescent="0.25">
      <c r="A29" s="6" t="s">
        <v>100</v>
      </c>
      <c r="B29" s="7">
        <v>5.99</v>
      </c>
      <c r="C29" s="7">
        <v>80</v>
      </c>
      <c r="D29" s="7">
        <v>0.12</v>
      </c>
      <c r="E29" s="8">
        <f>IF(Memorial!D8&gt;80,Memorial!D8,0)</f>
        <v>0</v>
      </c>
      <c r="F29" s="180">
        <f>IF(E29=0,0,HOME!E22*D29*(E29-80)+(HOME!E22*B29))</f>
        <v>0</v>
      </c>
      <c r="G29" s="180"/>
    </row>
    <row r="30" spans="1:7" x14ac:dyDescent="0.25">
      <c r="A30" s="6" t="s">
        <v>101</v>
      </c>
      <c r="B30" s="7">
        <v>5.99</v>
      </c>
      <c r="C30" s="7">
        <v>0</v>
      </c>
      <c r="D30" s="7">
        <v>0</v>
      </c>
      <c r="E30" s="8">
        <f>IF(Memorial!D8&lt;=80,Memorial!D8,"")</f>
        <v>0</v>
      </c>
      <c r="F30" s="180">
        <f>IF(E30=0,0,IF(E30&gt;80,"",B30*HOME!E22))</f>
        <v>0</v>
      </c>
      <c r="G30" s="180"/>
    </row>
    <row r="31" spans="1:7" x14ac:dyDescent="0.25">
      <c r="A31" s="6"/>
      <c r="B31" s="6"/>
      <c r="C31" s="6"/>
      <c r="D31" s="175" t="s">
        <v>0</v>
      </c>
      <c r="E31" s="175"/>
      <c r="F31" s="181">
        <f>SUM(F29:F30)</f>
        <v>0</v>
      </c>
      <c r="G31" s="181"/>
    </row>
    <row r="32" spans="1:7" ht="15.75" x14ac:dyDescent="0.25">
      <c r="A32" s="182" t="s">
        <v>82</v>
      </c>
      <c r="B32" s="182"/>
      <c r="C32" s="182"/>
      <c r="D32" s="182"/>
      <c r="E32" s="182"/>
      <c r="F32" s="182"/>
      <c r="G32" s="182"/>
    </row>
    <row r="33" spans="1:7" ht="15.75" x14ac:dyDescent="0.25">
      <c r="A33" s="11"/>
      <c r="B33" s="11"/>
      <c r="C33" s="11"/>
      <c r="D33" s="11"/>
      <c r="E33" s="12"/>
      <c r="F33" s="168"/>
      <c r="G33" s="169"/>
    </row>
    <row r="34" spans="1:7" x14ac:dyDescent="0.25">
      <c r="A34" s="6" t="s">
        <v>103</v>
      </c>
      <c r="B34" s="6" t="s">
        <v>112</v>
      </c>
      <c r="C34" s="9">
        <v>0.16</v>
      </c>
      <c r="D34" s="10">
        <f>HOME!E14*C34</f>
        <v>0</v>
      </c>
      <c r="E34" s="13" t="str">
        <f>IF(SUM($A$8:$K$8)&lt;=16,CONCATENATE((SUM($A$8:$K$8))," pontos"),0)</f>
        <v>0 pontos</v>
      </c>
      <c r="F34" s="180">
        <f>IF(E34&gt;0,Memorial!D8*D34*0.02,0)</f>
        <v>0</v>
      </c>
      <c r="G34" s="180"/>
    </row>
    <row r="35" spans="1:7" x14ac:dyDescent="0.25">
      <c r="A35" s="6" t="s">
        <v>105</v>
      </c>
      <c r="B35" s="6" t="s">
        <v>113</v>
      </c>
      <c r="C35" s="9">
        <v>0.14000000000000001</v>
      </c>
      <c r="D35" s="10">
        <f>HOME!E15*C35</f>
        <v>0</v>
      </c>
      <c r="E35" s="13">
        <f>IF(AND(SUM($A$8:$K$8)&gt;16,SUM($A$8:$K$8)&lt;=27),CONCATENATE((SUM($A$8:$K$8))," pontos"),0)</f>
        <v>0</v>
      </c>
      <c r="F35" s="180">
        <f>IF(E35&gt;0,Memorial!D8*D35*0.02,0)</f>
        <v>0</v>
      </c>
      <c r="G35" s="180"/>
    </row>
    <row r="36" spans="1:7" x14ac:dyDescent="0.25">
      <c r="A36" s="6" t="s">
        <v>104</v>
      </c>
      <c r="B36" s="6" t="s">
        <v>114</v>
      </c>
      <c r="C36" s="9">
        <v>0.16</v>
      </c>
      <c r="D36" s="10">
        <f>HOME!E16*C36</f>
        <v>0</v>
      </c>
      <c r="E36" s="13">
        <f>IF(SUM($A$8:$K$8)&gt;27,CONCATENATE((SUM($A$8:$K$8))," pontos"),0)</f>
        <v>0</v>
      </c>
      <c r="F36" s="180">
        <f>IF(E36&gt;0,Memorial!D8*D36*0.02,0)</f>
        <v>0</v>
      </c>
      <c r="G36" s="180"/>
    </row>
    <row r="37" spans="1:7" x14ac:dyDescent="0.25">
      <c r="D37" s="175" t="s">
        <v>109</v>
      </c>
      <c r="E37" s="175"/>
      <c r="F37" s="176">
        <f>SUM(F34:G36)</f>
        <v>0</v>
      </c>
      <c r="G37" s="177"/>
    </row>
  </sheetData>
  <sheetProtection selectLockedCells="1" selectUnlockedCells="1"/>
  <mergeCells count="38">
    <mergeCell ref="A9:B9"/>
    <mergeCell ref="C9:D9"/>
    <mergeCell ref="A10:B10"/>
    <mergeCell ref="C10:D10"/>
    <mergeCell ref="A11:B11"/>
    <mergeCell ref="C11:D11"/>
    <mergeCell ref="D21:E21"/>
    <mergeCell ref="F21:G21"/>
    <mergeCell ref="A12:B12"/>
    <mergeCell ref="C12:D12"/>
    <mergeCell ref="A13:B13"/>
    <mergeCell ref="C13:D13"/>
    <mergeCell ref="A14:B14"/>
    <mergeCell ref="C14:D14"/>
    <mergeCell ref="C15:D15"/>
    <mergeCell ref="A17:G17"/>
    <mergeCell ref="F18:G18"/>
    <mergeCell ref="F19:G19"/>
    <mergeCell ref="F20:G20"/>
    <mergeCell ref="A22:G22"/>
    <mergeCell ref="F23:G23"/>
    <mergeCell ref="F24:G24"/>
    <mergeCell ref="F25:G25"/>
    <mergeCell ref="D26:E26"/>
    <mergeCell ref="F26:G26"/>
    <mergeCell ref="D37:E37"/>
    <mergeCell ref="F37:G37"/>
    <mergeCell ref="A27:G27"/>
    <mergeCell ref="F28:G28"/>
    <mergeCell ref="F29:G29"/>
    <mergeCell ref="F30:G30"/>
    <mergeCell ref="D31:E31"/>
    <mergeCell ref="F31:G31"/>
    <mergeCell ref="A32:G32"/>
    <mergeCell ref="F33:G33"/>
    <mergeCell ref="F34:G34"/>
    <mergeCell ref="F35:G35"/>
    <mergeCell ref="F36:G3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1">
    <tabColor rgb="FFFFC000"/>
  </sheetPr>
  <dimension ref="A1:G30"/>
  <sheetViews>
    <sheetView zoomScale="55" zoomScaleNormal="55" workbookViewId="0">
      <selection activeCell="A32" sqref="A32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1.42578125" bestFit="1" customWidth="1"/>
  </cols>
  <sheetData>
    <row r="1" spans="1:7" x14ac:dyDescent="0.25">
      <c r="A1" s="177" t="s">
        <v>83</v>
      </c>
      <c r="B1" s="177"/>
      <c r="C1" s="176" t="e">
        <f>F15</f>
        <v>#REF!</v>
      </c>
      <c r="D1" s="177"/>
    </row>
    <row r="2" spans="1:7" x14ac:dyDescent="0.25">
      <c r="A2" s="177" t="s">
        <v>85</v>
      </c>
      <c r="B2" s="177"/>
      <c r="C2" s="176" t="e">
        <f>F20</f>
        <v>#REF!</v>
      </c>
      <c r="D2" s="177"/>
    </row>
    <row r="3" spans="1:7" x14ac:dyDescent="0.25">
      <c r="A3" s="177" t="s">
        <v>86</v>
      </c>
      <c r="B3" s="177"/>
      <c r="C3" s="181" t="e">
        <f>F25</f>
        <v>#REF!</v>
      </c>
      <c r="D3" s="177"/>
    </row>
    <row r="4" spans="1:7" x14ac:dyDescent="0.25">
      <c r="A4" s="177" t="s">
        <v>84</v>
      </c>
      <c r="B4" s="177"/>
      <c r="C4" s="180" t="e">
        <f>IF(#REF!=1,4.78*HOME!E22,0)</f>
        <v>#REF!</v>
      </c>
      <c r="D4" s="180"/>
    </row>
    <row r="5" spans="1:7" x14ac:dyDescent="0.25">
      <c r="A5" s="177" t="s">
        <v>82</v>
      </c>
      <c r="B5" s="177"/>
      <c r="C5" s="180" t="e">
        <f>F30</f>
        <v>#REF!</v>
      </c>
      <c r="D5" s="180"/>
    </row>
    <row r="6" spans="1:7" ht="18.75" x14ac:dyDescent="0.3">
      <c r="A6" s="184" t="s">
        <v>109</v>
      </c>
      <c r="B6" s="184"/>
      <c r="C6" s="185" t="e">
        <f>SUM(C1:D5)</f>
        <v>#REF!</v>
      </c>
      <c r="D6" s="185"/>
    </row>
    <row r="7" spans="1:7" x14ac:dyDescent="0.25">
      <c r="C7" s="132"/>
      <c r="D7" s="132"/>
    </row>
    <row r="9" spans="1:7" ht="15.75" x14ac:dyDescent="0.25">
      <c r="A9" s="186" t="s">
        <v>87</v>
      </c>
      <c r="B9" s="186"/>
      <c r="C9" s="186"/>
      <c r="D9" s="186"/>
      <c r="E9" s="186"/>
      <c r="F9" s="186"/>
      <c r="G9" s="186"/>
    </row>
    <row r="10" spans="1:7" x14ac:dyDescent="0.25">
      <c r="A10" s="5" t="s">
        <v>88</v>
      </c>
      <c r="B10" s="5" t="s">
        <v>89</v>
      </c>
      <c r="C10" s="5" t="s">
        <v>90</v>
      </c>
      <c r="D10" s="5" t="s">
        <v>91</v>
      </c>
      <c r="E10" s="5" t="s">
        <v>92</v>
      </c>
      <c r="F10" s="179" t="s">
        <v>93</v>
      </c>
      <c r="G10" s="179"/>
    </row>
    <row r="11" spans="1:7" x14ac:dyDescent="0.25">
      <c r="A11" s="6" t="s">
        <v>94</v>
      </c>
      <c r="B11" s="7">
        <v>9.59</v>
      </c>
      <c r="C11" s="7">
        <v>80</v>
      </c>
      <c r="D11" s="7">
        <v>0.18</v>
      </c>
      <c r="E11" s="5" t="e">
        <f>IF(AND(#REF!&gt;80,#REF!=2),#REF!,0)</f>
        <v>#REF!</v>
      </c>
      <c r="F11" s="180" t="e">
        <f>IF(E11=0,0,HOME!E22*D11*(E11-80)+(HOME!E22*B11))</f>
        <v>#REF!</v>
      </c>
      <c r="G11" s="180"/>
    </row>
    <row r="12" spans="1:7" x14ac:dyDescent="0.25">
      <c r="A12" s="6" t="s">
        <v>95</v>
      </c>
      <c r="B12" s="7">
        <v>9.59</v>
      </c>
      <c r="C12" s="7">
        <v>0</v>
      </c>
      <c r="D12" s="7">
        <v>0</v>
      </c>
      <c r="E12" s="5" t="e">
        <f>IF(AND(#REF!&lt;=80,#REF!=2),#REF!,0)</f>
        <v>#REF!</v>
      </c>
      <c r="F12" s="180" t="e">
        <f>IF(E12=0,0,IF(E12&gt;80,"",B12*HOME!E22))</f>
        <v>#REF!</v>
      </c>
      <c r="G12" s="180"/>
    </row>
    <row r="13" spans="1:7" x14ac:dyDescent="0.25">
      <c r="A13" s="6" t="s">
        <v>143</v>
      </c>
      <c r="B13" s="7">
        <v>5.99</v>
      </c>
      <c r="C13" s="7">
        <v>80</v>
      </c>
      <c r="D13" s="7">
        <v>0.12</v>
      </c>
      <c r="E13" s="5" t="e">
        <f>IF(AND(#REF!&gt;80,#REF!=1),#REF!,0)</f>
        <v>#REF!</v>
      </c>
      <c r="F13" s="187" t="e">
        <f>IF(E13=0,0,HOME!E22*D13*(E13-80)+(HOME!E22*B13))</f>
        <v>#REF!</v>
      </c>
      <c r="G13" s="188"/>
    </row>
    <row r="14" spans="1:7" x14ac:dyDescent="0.25">
      <c r="A14" s="6" t="s">
        <v>144</v>
      </c>
      <c r="B14" s="7">
        <v>5.99</v>
      </c>
      <c r="C14" s="7">
        <v>0</v>
      </c>
      <c r="D14" s="7">
        <v>0</v>
      </c>
      <c r="E14" s="5" t="e">
        <f>IF(AND(#REF!&lt;=80,#REF!=1),#REF!,0)</f>
        <v>#REF!</v>
      </c>
      <c r="F14" s="187" t="e">
        <f>IF(E14=0,0,IF(E14&gt;80,"",B14*HOME!E22))</f>
        <v>#REF!</v>
      </c>
      <c r="G14" s="188"/>
    </row>
    <row r="15" spans="1:7" x14ac:dyDescent="0.25">
      <c r="A15" s="6"/>
      <c r="B15" s="7"/>
      <c r="C15" s="7"/>
      <c r="D15" s="175" t="s">
        <v>0</v>
      </c>
      <c r="E15" s="175"/>
      <c r="F15" s="180" t="e">
        <f>SUM(F11:F14)</f>
        <v>#REF!</v>
      </c>
      <c r="G15" s="180"/>
    </row>
    <row r="16" spans="1:7" ht="15.75" x14ac:dyDescent="0.25">
      <c r="A16" s="183" t="s">
        <v>96</v>
      </c>
      <c r="B16" s="183"/>
      <c r="C16" s="183"/>
      <c r="D16" s="183"/>
      <c r="E16" s="183"/>
      <c r="F16" s="183"/>
      <c r="G16" s="183"/>
    </row>
    <row r="17" spans="1:7" x14ac:dyDescent="0.25">
      <c r="A17" s="5" t="s">
        <v>88</v>
      </c>
      <c r="B17" s="5" t="s">
        <v>89</v>
      </c>
      <c r="C17" s="5" t="s">
        <v>90</v>
      </c>
      <c r="D17" s="5" t="s">
        <v>91</v>
      </c>
      <c r="E17" s="5" t="s">
        <v>92</v>
      </c>
      <c r="F17" s="179" t="s">
        <v>93</v>
      </c>
      <c r="G17" s="179"/>
    </row>
    <row r="18" spans="1:7" x14ac:dyDescent="0.25">
      <c r="A18" s="6" t="s">
        <v>97</v>
      </c>
      <c r="B18" s="7">
        <v>5.99</v>
      </c>
      <c r="C18" s="7">
        <v>12</v>
      </c>
      <c r="D18" s="7">
        <v>0.5</v>
      </c>
      <c r="E18" s="5" t="e">
        <f>IF(AND(#REF!&gt;12,#REF!=1),#REF!,0)</f>
        <v>#REF!</v>
      </c>
      <c r="F18" s="180" t="e">
        <f>IF(E18&lt;12,0,HOME!E22*D18*(E18-12)+(HOME!E22*B18))</f>
        <v>#REF!</v>
      </c>
      <c r="G18" s="180"/>
    </row>
    <row r="19" spans="1:7" x14ac:dyDescent="0.25">
      <c r="A19" s="6" t="s">
        <v>98</v>
      </c>
      <c r="B19" s="7">
        <v>5.99</v>
      </c>
      <c r="C19" s="7">
        <v>0</v>
      </c>
      <c r="D19" s="7">
        <v>0</v>
      </c>
      <c r="E19" s="5" t="e">
        <f>IF(AND(#REF!&lt;=12,#REF!=1),#REF!,0)</f>
        <v>#REF!</v>
      </c>
      <c r="F19" s="180" t="e">
        <f>IF(E19=0,0,IF(E19&lt;=12,B19*HOME!E22,0))</f>
        <v>#REF!</v>
      </c>
      <c r="G19" s="180"/>
    </row>
    <row r="20" spans="1:7" x14ac:dyDescent="0.25">
      <c r="A20" s="6"/>
      <c r="B20" s="7"/>
      <c r="C20" s="7"/>
      <c r="D20" s="175" t="s">
        <v>0</v>
      </c>
      <c r="E20" s="175"/>
      <c r="F20" s="180" t="e">
        <f>SUM(F18:F19)</f>
        <v>#REF!</v>
      </c>
      <c r="G20" s="180"/>
    </row>
    <row r="21" spans="1:7" ht="15.75" x14ac:dyDescent="0.25">
      <c r="A21" s="178" t="s">
        <v>99</v>
      </c>
      <c r="B21" s="178"/>
      <c r="C21" s="178"/>
      <c r="D21" s="178"/>
      <c r="E21" s="178"/>
      <c r="F21" s="178"/>
      <c r="G21" s="178"/>
    </row>
    <row r="22" spans="1:7" x14ac:dyDescent="0.25">
      <c r="A22" s="5" t="s">
        <v>88</v>
      </c>
      <c r="B22" s="5" t="s">
        <v>89</v>
      </c>
      <c r="C22" s="5" t="s">
        <v>90</v>
      </c>
      <c r="D22" s="5" t="s">
        <v>91</v>
      </c>
      <c r="E22" s="5" t="s">
        <v>92</v>
      </c>
      <c r="F22" s="179" t="s">
        <v>93</v>
      </c>
      <c r="G22" s="179"/>
    </row>
    <row r="23" spans="1:7" x14ac:dyDescent="0.25">
      <c r="A23" s="6" t="s">
        <v>100</v>
      </c>
      <c r="B23" s="7">
        <v>5.99</v>
      </c>
      <c r="C23" s="7">
        <v>80</v>
      </c>
      <c r="D23" s="7">
        <v>0.12</v>
      </c>
      <c r="E23" s="8" t="e">
        <f>IF(#REF!&gt;80,#REF!,0)</f>
        <v>#REF!</v>
      </c>
      <c r="F23" s="180" t="e">
        <f>IF(E23=0,0,HOME!E22*D23*(E23-80)+(HOME!E22*B23))</f>
        <v>#REF!</v>
      </c>
      <c r="G23" s="180"/>
    </row>
    <row r="24" spans="1:7" x14ac:dyDescent="0.25">
      <c r="A24" s="6" t="s">
        <v>101</v>
      </c>
      <c r="B24" s="7">
        <v>5.99</v>
      </c>
      <c r="C24" s="7">
        <v>0</v>
      </c>
      <c r="D24" s="7">
        <v>0</v>
      </c>
      <c r="E24" s="8" t="e">
        <f>IF(#REF!&lt;=80,#REF!,0)</f>
        <v>#REF!</v>
      </c>
      <c r="F24" s="180" t="e">
        <f>IF(E24=0,0,IF(E24&gt;80,"",B24*HOME!E22))</f>
        <v>#REF!</v>
      </c>
      <c r="G24" s="180"/>
    </row>
    <row r="25" spans="1:7" x14ac:dyDescent="0.25">
      <c r="A25" s="6"/>
      <c r="B25" s="6"/>
      <c r="C25" s="6"/>
      <c r="D25" s="175" t="s">
        <v>0</v>
      </c>
      <c r="E25" s="175"/>
      <c r="F25" s="181" t="e">
        <f>SUM(F23:F24)</f>
        <v>#REF!</v>
      </c>
      <c r="G25" s="181"/>
    </row>
    <row r="26" spans="1:7" ht="15.75" x14ac:dyDescent="0.25">
      <c r="A26" s="182" t="s">
        <v>82</v>
      </c>
      <c r="B26" s="182"/>
      <c r="C26" s="182"/>
      <c r="D26" s="182"/>
      <c r="E26" s="182"/>
      <c r="F26" s="182"/>
      <c r="G26" s="182"/>
    </row>
    <row r="27" spans="1:7" ht="15.75" x14ac:dyDescent="0.25">
      <c r="A27" s="11"/>
      <c r="B27" s="11"/>
      <c r="C27" s="11"/>
      <c r="D27" s="11"/>
      <c r="E27" s="12"/>
      <c r="F27" s="168"/>
      <c r="G27" s="169"/>
    </row>
    <row r="28" spans="1:7" x14ac:dyDescent="0.25">
      <c r="A28" s="6" t="s">
        <v>145</v>
      </c>
      <c r="B28" s="6"/>
      <c r="C28" s="9">
        <v>0.1</v>
      </c>
      <c r="D28" s="10">
        <f>HOME!E14*C28</f>
        <v>0</v>
      </c>
      <c r="E28" s="13">
        <f>IF(Memorial!L9=1,Memorial!F8,0)</f>
        <v>0</v>
      </c>
      <c r="F28" s="180" t="e">
        <f>IF(AND(E28&gt;0,#REF!=1),#REF!*D28*0.02,0)</f>
        <v>#REF!</v>
      </c>
      <c r="G28" s="180"/>
    </row>
    <row r="29" spans="1:7" x14ac:dyDescent="0.25">
      <c r="A29" s="6" t="s">
        <v>146</v>
      </c>
      <c r="B29" s="6"/>
      <c r="C29" s="9">
        <v>0.2</v>
      </c>
      <c r="D29" s="10">
        <f>HOME!E14*C29</f>
        <v>0</v>
      </c>
      <c r="E29" s="13" t="e">
        <f>IF(#REF!=2,#REF!,0)</f>
        <v>#REF!</v>
      </c>
      <c r="F29" s="180" t="e">
        <f>IF(AND(E29&gt;0,#REF!=2),#REF!*D29*0.02,0)</f>
        <v>#REF!</v>
      </c>
      <c r="G29" s="180"/>
    </row>
    <row r="30" spans="1:7" x14ac:dyDescent="0.25">
      <c r="D30" s="175" t="s">
        <v>109</v>
      </c>
      <c r="E30" s="175"/>
      <c r="F30" s="176" t="e">
        <f>SUM(F28:G29)</f>
        <v>#REF!</v>
      </c>
      <c r="G30" s="177"/>
    </row>
  </sheetData>
  <sheetProtection selectLockedCells="1" selectUnlockedCells="1"/>
  <mergeCells count="39">
    <mergeCell ref="A1:B1"/>
    <mergeCell ref="C1:D1"/>
    <mergeCell ref="A2:B2"/>
    <mergeCell ref="C2:D2"/>
    <mergeCell ref="A3:B3"/>
    <mergeCell ref="C3:D3"/>
    <mergeCell ref="F13:G13"/>
    <mergeCell ref="A4:B4"/>
    <mergeCell ref="C4:D4"/>
    <mergeCell ref="A5:B5"/>
    <mergeCell ref="C5:D5"/>
    <mergeCell ref="A6:B6"/>
    <mergeCell ref="C6:D6"/>
    <mergeCell ref="C7:D7"/>
    <mergeCell ref="A9:G9"/>
    <mergeCell ref="F10:G10"/>
    <mergeCell ref="F11:G11"/>
    <mergeCell ref="F12:G12"/>
    <mergeCell ref="F23:G23"/>
    <mergeCell ref="F14:G14"/>
    <mergeCell ref="D15:E15"/>
    <mergeCell ref="F15:G15"/>
    <mergeCell ref="A16:G16"/>
    <mergeCell ref="F17:G17"/>
    <mergeCell ref="F18:G18"/>
    <mergeCell ref="F19:G19"/>
    <mergeCell ref="D20:E20"/>
    <mergeCell ref="F20:G20"/>
    <mergeCell ref="A21:G21"/>
    <mergeCell ref="F22:G22"/>
    <mergeCell ref="F29:G29"/>
    <mergeCell ref="D30:E30"/>
    <mergeCell ref="F30:G30"/>
    <mergeCell ref="F24:G24"/>
    <mergeCell ref="D25:E25"/>
    <mergeCell ref="F25:G25"/>
    <mergeCell ref="A26:G26"/>
    <mergeCell ref="F27:G27"/>
    <mergeCell ref="F28:G2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10">
    <tabColor rgb="FFFFC000"/>
  </sheetPr>
  <dimension ref="A1:G30"/>
  <sheetViews>
    <sheetView workbookViewId="0">
      <selection activeCell="D28" sqref="D28"/>
    </sheetView>
  </sheetViews>
  <sheetFormatPr defaultRowHeight="15" x14ac:dyDescent="0.25"/>
  <cols>
    <col min="1" max="1" width="52.7109375" bestFit="1" customWidth="1"/>
    <col min="2" max="2" width="9.85546875" bestFit="1" customWidth="1"/>
    <col min="3" max="3" width="11.7109375" bestFit="1" customWidth="1"/>
    <col min="4" max="4" width="20.5703125" bestFit="1" customWidth="1"/>
    <col min="5" max="5" width="11.42578125" bestFit="1" customWidth="1"/>
  </cols>
  <sheetData>
    <row r="1" spans="1:7" x14ac:dyDescent="0.25">
      <c r="A1" s="177" t="s">
        <v>83</v>
      </c>
      <c r="B1" s="177"/>
      <c r="C1" s="176" t="e">
        <f>F15</f>
        <v>#REF!</v>
      </c>
      <c r="D1" s="177"/>
    </row>
    <row r="2" spans="1:7" x14ac:dyDescent="0.25">
      <c r="A2" s="177" t="s">
        <v>85</v>
      </c>
      <c r="B2" s="177"/>
      <c r="C2" s="176" t="e">
        <f>F20</f>
        <v>#REF!</v>
      </c>
      <c r="D2" s="177"/>
    </row>
    <row r="3" spans="1:7" x14ac:dyDescent="0.25">
      <c r="A3" s="177" t="s">
        <v>86</v>
      </c>
      <c r="B3" s="177"/>
      <c r="C3" s="181" t="e">
        <f>F25</f>
        <v>#REF!</v>
      </c>
      <c r="D3" s="177"/>
    </row>
    <row r="4" spans="1:7" x14ac:dyDescent="0.25">
      <c r="A4" s="177" t="s">
        <v>84</v>
      </c>
      <c r="B4" s="177"/>
      <c r="C4" s="180" t="e">
        <f>IF(#REF!=1,4.78*HOME!E22,0)</f>
        <v>#REF!</v>
      </c>
      <c r="D4" s="180"/>
    </row>
    <row r="5" spans="1:7" x14ac:dyDescent="0.25">
      <c r="A5" s="177" t="s">
        <v>82</v>
      </c>
      <c r="B5" s="177"/>
      <c r="C5" s="180" t="e">
        <f>F30</f>
        <v>#REF!</v>
      </c>
      <c r="D5" s="180"/>
    </row>
    <row r="6" spans="1:7" ht="18.75" x14ac:dyDescent="0.3">
      <c r="A6" s="184" t="s">
        <v>109</v>
      </c>
      <c r="B6" s="184"/>
      <c r="C6" s="185" t="e">
        <f>SUM(C1:D5)</f>
        <v>#REF!</v>
      </c>
      <c r="D6" s="185"/>
    </row>
    <row r="7" spans="1:7" x14ac:dyDescent="0.25">
      <c r="C7" s="132"/>
      <c r="D7" s="132"/>
    </row>
    <row r="9" spans="1:7" ht="15.75" x14ac:dyDescent="0.25">
      <c r="A9" s="186" t="s">
        <v>87</v>
      </c>
      <c r="B9" s="186"/>
      <c r="C9" s="186"/>
      <c r="D9" s="186"/>
      <c r="E9" s="186"/>
      <c r="F9" s="186"/>
      <c r="G9" s="186"/>
    </row>
    <row r="10" spans="1:7" x14ac:dyDescent="0.25">
      <c r="A10" s="5" t="s">
        <v>88</v>
      </c>
      <c r="B10" s="5" t="s">
        <v>89</v>
      </c>
      <c r="C10" s="5" t="s">
        <v>90</v>
      </c>
      <c r="D10" s="5" t="s">
        <v>91</v>
      </c>
      <c r="E10" s="5" t="s">
        <v>92</v>
      </c>
      <c r="F10" s="179" t="s">
        <v>93</v>
      </c>
      <c r="G10" s="179"/>
    </row>
    <row r="11" spans="1:7" x14ac:dyDescent="0.25">
      <c r="A11" s="6" t="s">
        <v>94</v>
      </c>
      <c r="B11" s="7">
        <v>9.59</v>
      </c>
      <c r="C11" s="7">
        <v>80</v>
      </c>
      <c r="D11" s="7">
        <v>0.18</v>
      </c>
      <c r="E11" s="5" t="e">
        <f>IF(AND(#REF!&gt;80,#REF!=2),#REF!,0)</f>
        <v>#REF!</v>
      </c>
      <c r="F11" s="180" t="e">
        <f>IF(E11=0,0,HOME!E22*D11*(E11-80)+(HOME!E22*B11))</f>
        <v>#REF!</v>
      </c>
      <c r="G11" s="180"/>
    </row>
    <row r="12" spans="1:7" x14ac:dyDescent="0.25">
      <c r="A12" s="6" t="s">
        <v>95</v>
      </c>
      <c r="B12" s="7">
        <v>9.59</v>
      </c>
      <c r="C12" s="7">
        <v>0</v>
      </c>
      <c r="D12" s="7">
        <v>0</v>
      </c>
      <c r="E12" s="5" t="e">
        <f>IF(AND(#REF!&lt;=80,#REF!=2),#REF!,0)</f>
        <v>#REF!</v>
      </c>
      <c r="F12" s="180" t="e">
        <f>IF(E12=0,0,IF(E12&gt;80,"",B12*HOME!E22))</f>
        <v>#REF!</v>
      </c>
      <c r="G12" s="180"/>
    </row>
    <row r="13" spans="1:7" x14ac:dyDescent="0.25">
      <c r="A13" s="6" t="s">
        <v>143</v>
      </c>
      <c r="B13" s="7">
        <v>5.99</v>
      </c>
      <c r="C13" s="7">
        <v>80</v>
      </c>
      <c r="D13" s="7">
        <v>0.12</v>
      </c>
      <c r="E13" s="5" t="e">
        <f>IF(AND(#REF!&gt;80,#REF!=1),#REF!,0)</f>
        <v>#REF!</v>
      </c>
      <c r="F13" s="187" t="e">
        <f>IF(E13=0,0,HOME!E22*D13*(E13-80)+(HOME!E22*B13))</f>
        <v>#REF!</v>
      </c>
      <c r="G13" s="188"/>
    </row>
    <row r="14" spans="1:7" x14ac:dyDescent="0.25">
      <c r="A14" s="6" t="s">
        <v>144</v>
      </c>
      <c r="B14" s="7">
        <v>5.99</v>
      </c>
      <c r="C14" s="7">
        <v>0</v>
      </c>
      <c r="D14" s="7">
        <v>0</v>
      </c>
      <c r="E14" s="5" t="e">
        <f>IF(AND(#REF!&lt;=80,#REF!=1),#REF!,0)</f>
        <v>#REF!</v>
      </c>
      <c r="F14" s="187" t="e">
        <f>IF(E14=0,0,IF(E14&gt;80,"",B14*HOME!E22))</f>
        <v>#REF!</v>
      </c>
      <c r="G14" s="188"/>
    </row>
    <row r="15" spans="1:7" x14ac:dyDescent="0.25">
      <c r="A15" s="6"/>
      <c r="B15" s="7"/>
      <c r="C15" s="7"/>
      <c r="D15" s="175" t="s">
        <v>0</v>
      </c>
      <c r="E15" s="175"/>
      <c r="F15" s="180" t="e">
        <f>SUM(F11:F14)</f>
        <v>#REF!</v>
      </c>
      <c r="G15" s="180"/>
    </row>
    <row r="16" spans="1:7" ht="15.75" x14ac:dyDescent="0.25">
      <c r="A16" s="183" t="s">
        <v>96</v>
      </c>
      <c r="B16" s="183"/>
      <c r="C16" s="183"/>
      <c r="D16" s="183"/>
      <c r="E16" s="183"/>
      <c r="F16" s="183"/>
      <c r="G16" s="183"/>
    </row>
    <row r="17" spans="1:7" x14ac:dyDescent="0.25">
      <c r="A17" s="5" t="s">
        <v>88</v>
      </c>
      <c r="B17" s="5" t="s">
        <v>89</v>
      </c>
      <c r="C17" s="5" t="s">
        <v>90</v>
      </c>
      <c r="D17" s="5" t="s">
        <v>91</v>
      </c>
      <c r="E17" s="5" t="s">
        <v>92</v>
      </c>
      <c r="F17" s="179" t="s">
        <v>93</v>
      </c>
      <c r="G17" s="179"/>
    </row>
    <row r="18" spans="1:7" x14ac:dyDescent="0.25">
      <c r="A18" s="6" t="s">
        <v>97</v>
      </c>
      <c r="B18" s="7">
        <v>5.99</v>
      </c>
      <c r="C18" s="7">
        <v>12</v>
      </c>
      <c r="D18" s="7">
        <v>0.5</v>
      </c>
      <c r="E18" s="5" t="e">
        <f>IF(AND(#REF!&gt;12,#REF!=1),#REF!,0)</f>
        <v>#REF!</v>
      </c>
      <c r="F18" s="180" t="e">
        <f>IF(E18&lt;12,0,HOME!E22*D18*(E18-12)+(HOME!E22*B18))</f>
        <v>#REF!</v>
      </c>
      <c r="G18" s="180"/>
    </row>
    <row r="19" spans="1:7" x14ac:dyDescent="0.25">
      <c r="A19" s="6" t="s">
        <v>98</v>
      </c>
      <c r="B19" s="7">
        <v>5.99</v>
      </c>
      <c r="C19" s="7">
        <v>0</v>
      </c>
      <c r="D19" s="7">
        <v>0</v>
      </c>
      <c r="E19" s="5" t="e">
        <f>IF(AND(#REF!&lt;=12,#REF!=1),#REF!,0)</f>
        <v>#REF!</v>
      </c>
      <c r="F19" s="180" t="e">
        <f>IF(E19=0,0,IF(E19&lt;=12,B19*HOME!E22,0))</f>
        <v>#REF!</v>
      </c>
      <c r="G19" s="180"/>
    </row>
    <row r="20" spans="1:7" x14ac:dyDescent="0.25">
      <c r="A20" s="6"/>
      <c r="B20" s="7"/>
      <c r="C20" s="7"/>
      <c r="D20" s="175" t="s">
        <v>0</v>
      </c>
      <c r="E20" s="175"/>
      <c r="F20" s="180" t="e">
        <f>SUM(F18:F19)</f>
        <v>#REF!</v>
      </c>
      <c r="G20" s="180"/>
    </row>
    <row r="21" spans="1:7" ht="15.75" x14ac:dyDescent="0.25">
      <c r="A21" s="178" t="s">
        <v>99</v>
      </c>
      <c r="B21" s="178"/>
      <c r="C21" s="178"/>
      <c r="D21" s="178"/>
      <c r="E21" s="178"/>
      <c r="F21" s="178"/>
      <c r="G21" s="178"/>
    </row>
    <row r="22" spans="1:7" x14ac:dyDescent="0.25">
      <c r="A22" s="5" t="s">
        <v>88</v>
      </c>
      <c r="B22" s="5" t="s">
        <v>89</v>
      </c>
      <c r="C22" s="5" t="s">
        <v>90</v>
      </c>
      <c r="D22" s="5" t="s">
        <v>91</v>
      </c>
      <c r="E22" s="5" t="s">
        <v>92</v>
      </c>
      <c r="F22" s="179" t="s">
        <v>93</v>
      </c>
      <c r="G22" s="179"/>
    </row>
    <row r="23" spans="1:7" x14ac:dyDescent="0.25">
      <c r="A23" s="6" t="s">
        <v>100</v>
      </c>
      <c r="B23" s="7">
        <v>5.99</v>
      </c>
      <c r="C23" s="7">
        <v>80</v>
      </c>
      <c r="D23" s="7">
        <v>0.12</v>
      </c>
      <c r="E23" s="8" t="e">
        <f>IF(#REF!&gt;80,#REF!,0)</f>
        <v>#REF!</v>
      </c>
      <c r="F23" s="180" t="e">
        <f>IF(E23=0,0,HOME!E22*D23*(E23-80)+(HOME!E22*B23))</f>
        <v>#REF!</v>
      </c>
      <c r="G23" s="180"/>
    </row>
    <row r="24" spans="1:7" x14ac:dyDescent="0.25">
      <c r="A24" s="6" t="s">
        <v>101</v>
      </c>
      <c r="B24" s="7">
        <v>5.99</v>
      </c>
      <c r="C24" s="7">
        <v>0</v>
      </c>
      <c r="D24" s="7">
        <v>0</v>
      </c>
      <c r="E24" s="8" t="e">
        <f>IF(#REF!&lt;=80,#REF!,0)</f>
        <v>#REF!</v>
      </c>
      <c r="F24" s="180" t="e">
        <f>IF(E24=0,0,IF(E24&gt;80,"",B24*HOME!E22))</f>
        <v>#REF!</v>
      </c>
      <c r="G24" s="180"/>
    </row>
    <row r="25" spans="1:7" x14ac:dyDescent="0.25">
      <c r="A25" s="6"/>
      <c r="B25" s="6"/>
      <c r="C25" s="6"/>
      <c r="D25" s="175" t="s">
        <v>0</v>
      </c>
      <c r="E25" s="175"/>
      <c r="F25" s="181" t="e">
        <f>SUM(F23:F24)</f>
        <v>#REF!</v>
      </c>
      <c r="G25" s="181"/>
    </row>
    <row r="26" spans="1:7" ht="15.75" x14ac:dyDescent="0.25">
      <c r="A26" s="182" t="s">
        <v>82</v>
      </c>
      <c r="B26" s="182"/>
      <c r="C26" s="182"/>
      <c r="D26" s="182"/>
      <c r="E26" s="182"/>
      <c r="F26" s="182"/>
      <c r="G26" s="182"/>
    </row>
    <row r="27" spans="1:7" ht="15.75" x14ac:dyDescent="0.25">
      <c r="A27" s="11"/>
      <c r="B27" s="11"/>
      <c r="C27" s="11"/>
      <c r="D27" s="11"/>
      <c r="E27" s="12"/>
      <c r="F27" s="168"/>
      <c r="G27" s="169"/>
    </row>
    <row r="28" spans="1:7" x14ac:dyDescent="0.25">
      <c r="A28" s="6" t="s">
        <v>139</v>
      </c>
      <c r="B28" s="6"/>
      <c r="C28" s="9">
        <v>0.02</v>
      </c>
      <c r="D28" s="10">
        <f>HOME!E14*C28</f>
        <v>0</v>
      </c>
      <c r="E28" s="13" t="e">
        <f>IF(#REF!=1,#REF!,0)</f>
        <v>#REF!</v>
      </c>
      <c r="F28" s="180" t="e">
        <f>IF(AND(E28&gt;0,#REF!=1),#REF!*D28*0.02,0)</f>
        <v>#REF!</v>
      </c>
      <c r="G28" s="180"/>
    </row>
    <row r="29" spans="1:7" x14ac:dyDescent="0.25">
      <c r="A29" s="6" t="s">
        <v>140</v>
      </c>
      <c r="B29" s="6"/>
      <c r="C29" s="9">
        <v>7.0000000000000007E-2</v>
      </c>
      <c r="D29" s="10">
        <f>HOME!E14*C29</f>
        <v>0</v>
      </c>
      <c r="E29" s="13" t="e">
        <f>IF(#REF!=2,#REF!,0)</f>
        <v>#REF!</v>
      </c>
      <c r="F29" s="180" t="e">
        <f>IF(AND(E29&gt;0,#REF!=2),#REF!*D29*0.02,0)</f>
        <v>#REF!</v>
      </c>
      <c r="G29" s="180"/>
    </row>
    <row r="30" spans="1:7" x14ac:dyDescent="0.25">
      <c r="D30" s="175" t="s">
        <v>109</v>
      </c>
      <c r="E30" s="175"/>
      <c r="F30" s="176" t="e">
        <f>SUM(F28:G29)</f>
        <v>#REF!</v>
      </c>
      <c r="G30" s="177"/>
    </row>
  </sheetData>
  <sheetProtection selectLockedCells="1"/>
  <mergeCells count="39">
    <mergeCell ref="A26:G26"/>
    <mergeCell ref="F27:G27"/>
    <mergeCell ref="F28:G28"/>
    <mergeCell ref="F29:G29"/>
    <mergeCell ref="D30:E30"/>
    <mergeCell ref="F30:G30"/>
    <mergeCell ref="A21:G21"/>
    <mergeCell ref="F22:G22"/>
    <mergeCell ref="F23:G23"/>
    <mergeCell ref="F24:G24"/>
    <mergeCell ref="D25:E25"/>
    <mergeCell ref="F25:G25"/>
    <mergeCell ref="A16:G16"/>
    <mergeCell ref="F17:G17"/>
    <mergeCell ref="F18:G18"/>
    <mergeCell ref="F19:G19"/>
    <mergeCell ref="D20:E20"/>
    <mergeCell ref="F20:G20"/>
    <mergeCell ref="D15:E15"/>
    <mergeCell ref="F15:G15"/>
    <mergeCell ref="F13:G13"/>
    <mergeCell ref="F14:G14"/>
    <mergeCell ref="A4:B4"/>
    <mergeCell ref="C4:D4"/>
    <mergeCell ref="A5:B5"/>
    <mergeCell ref="C5:D5"/>
    <mergeCell ref="A6:B6"/>
    <mergeCell ref="C6:D6"/>
    <mergeCell ref="C7:D7"/>
    <mergeCell ref="A9:G9"/>
    <mergeCell ref="F10:G10"/>
    <mergeCell ref="F11:G11"/>
    <mergeCell ref="F12:G12"/>
    <mergeCell ref="A1:B1"/>
    <mergeCell ref="C1:D1"/>
    <mergeCell ref="A2:B2"/>
    <mergeCell ref="C2:D2"/>
    <mergeCell ref="A3:B3"/>
    <mergeCell ref="C3:D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rgb="FFFFC000"/>
  </sheetPr>
  <dimension ref="A1:I36"/>
  <sheetViews>
    <sheetView zoomScale="40" zoomScaleNormal="40" workbookViewId="0">
      <selection activeCell="T17" sqref="T17"/>
    </sheetView>
  </sheetViews>
  <sheetFormatPr defaultRowHeight="15" x14ac:dyDescent="0.25"/>
  <cols>
    <col min="1" max="1" width="26" bestFit="1" customWidth="1"/>
    <col min="2" max="2" width="14.28515625" bestFit="1" customWidth="1"/>
    <col min="3" max="3" width="43.42578125" bestFit="1" customWidth="1"/>
    <col min="4" max="4" width="20.5703125" bestFit="1" customWidth="1"/>
    <col min="5" max="5" width="25.140625" bestFit="1" customWidth="1"/>
    <col min="6" max="7" width="17.85546875" bestFit="1" customWidth="1"/>
    <col min="8" max="8" width="19.140625" bestFit="1" customWidth="1"/>
    <col min="9" max="9" width="10.85546875" bestFit="1" customWidth="1"/>
  </cols>
  <sheetData>
    <row r="1" spans="1:9" x14ac:dyDescent="0.25">
      <c r="A1" s="1" t="s">
        <v>55</v>
      </c>
      <c r="B1" s="1" t="s">
        <v>58</v>
      </c>
      <c r="C1" s="1" t="s">
        <v>61</v>
      </c>
      <c r="D1" s="1" t="s">
        <v>64</v>
      </c>
      <c r="E1" s="1" t="s">
        <v>67</v>
      </c>
      <c r="F1" s="1" t="s">
        <v>70</v>
      </c>
      <c r="G1" s="1" t="s">
        <v>73</v>
      </c>
      <c r="H1" s="1" t="s">
        <v>43</v>
      </c>
      <c r="I1" s="1" t="s">
        <v>76</v>
      </c>
    </row>
    <row r="2" spans="1:9" x14ac:dyDescent="0.25">
      <c r="A2" s="1" t="s">
        <v>56</v>
      </c>
      <c r="B2" s="1" t="s">
        <v>59</v>
      </c>
      <c r="C2" s="1" t="s">
        <v>62</v>
      </c>
      <c r="D2" s="1" t="s">
        <v>65</v>
      </c>
      <c r="E2" s="1" t="s">
        <v>68</v>
      </c>
      <c r="F2" s="1" t="s">
        <v>71</v>
      </c>
      <c r="G2" s="1" t="s">
        <v>74</v>
      </c>
      <c r="H2" s="1" t="s">
        <v>51</v>
      </c>
      <c r="I2" s="1" t="s">
        <v>77</v>
      </c>
    </row>
    <row r="3" spans="1:9" x14ac:dyDescent="0.25">
      <c r="A3" s="1" t="s">
        <v>57</v>
      </c>
      <c r="B3" s="1" t="s">
        <v>60</v>
      </c>
      <c r="C3" s="1" t="s">
        <v>63</v>
      </c>
      <c r="D3" s="1" t="s">
        <v>66</v>
      </c>
      <c r="E3" s="1" t="s">
        <v>69</v>
      </c>
      <c r="F3" s="1" t="s">
        <v>72</v>
      </c>
      <c r="G3" s="1" t="s">
        <v>75</v>
      </c>
      <c r="H3" s="1" t="s">
        <v>19</v>
      </c>
      <c r="I3" s="1" t="s">
        <v>78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6" spans="1:9" x14ac:dyDescent="0.25">
      <c r="A6">
        <v>3</v>
      </c>
      <c r="B6">
        <v>3</v>
      </c>
      <c r="C6">
        <v>3</v>
      </c>
      <c r="D6">
        <v>3</v>
      </c>
      <c r="E6">
        <v>3</v>
      </c>
      <c r="F6">
        <v>3</v>
      </c>
      <c r="G6">
        <v>3</v>
      </c>
      <c r="H6">
        <v>3</v>
      </c>
      <c r="I6">
        <v>3</v>
      </c>
    </row>
    <row r="8" spans="1:9" x14ac:dyDescent="0.25">
      <c r="A8" s="1" t="str">
        <f>IF(A6=3,"",IF(A6=2,2,IF(A6=1,1)))</f>
        <v/>
      </c>
      <c r="B8" s="46" t="str">
        <f t="shared" ref="B8:I8" si="0">IF(B6=3,"",IF(B6=2,2,IF(B6=1,1)))</f>
        <v/>
      </c>
      <c r="C8" s="46" t="str">
        <f t="shared" si="0"/>
        <v/>
      </c>
      <c r="D8" s="46" t="str">
        <f t="shared" si="0"/>
        <v/>
      </c>
      <c r="E8" s="46" t="str">
        <f t="shared" si="0"/>
        <v/>
      </c>
      <c r="F8" s="46" t="str">
        <f t="shared" si="0"/>
        <v/>
      </c>
      <c r="G8" s="46" t="str">
        <f t="shared" si="0"/>
        <v/>
      </c>
      <c r="H8" s="46" t="str">
        <f t="shared" si="0"/>
        <v/>
      </c>
      <c r="I8" s="46" t="str">
        <f t="shared" si="0"/>
        <v/>
      </c>
    </row>
    <row r="9" spans="1:9" x14ac:dyDescent="0.25">
      <c r="A9" s="177" t="s">
        <v>83</v>
      </c>
      <c r="B9" s="177"/>
      <c r="C9" s="176" t="e">
        <f>F21</f>
        <v>#REF!</v>
      </c>
      <c r="D9" s="177"/>
    </row>
    <row r="10" spans="1:9" x14ac:dyDescent="0.25">
      <c r="A10" s="177" t="s">
        <v>85</v>
      </c>
      <c r="B10" s="177"/>
      <c r="C10" s="176" t="e">
        <f>F26</f>
        <v>#REF!</v>
      </c>
      <c r="D10" s="177"/>
    </row>
    <row r="11" spans="1:9" x14ac:dyDescent="0.25">
      <c r="A11" s="177" t="s">
        <v>86</v>
      </c>
      <c r="B11" s="177"/>
      <c r="C11" s="181" t="e">
        <f>F31</f>
        <v>#REF!</v>
      </c>
      <c r="D11" s="177"/>
    </row>
    <row r="12" spans="1:9" x14ac:dyDescent="0.25">
      <c r="A12" s="177" t="s">
        <v>84</v>
      </c>
      <c r="B12" s="177"/>
      <c r="C12" s="180" t="e">
        <f>IF(#REF!=1,4.78*HOME!E22,0)</f>
        <v>#REF!</v>
      </c>
      <c r="D12" s="180"/>
    </row>
    <row r="13" spans="1:9" x14ac:dyDescent="0.25">
      <c r="A13" s="177" t="s">
        <v>82</v>
      </c>
      <c r="B13" s="177"/>
      <c r="C13" s="180">
        <f>F36</f>
        <v>0</v>
      </c>
      <c r="D13" s="180"/>
    </row>
    <row r="14" spans="1:9" ht="18.75" x14ac:dyDescent="0.3">
      <c r="A14" s="184" t="s">
        <v>109</v>
      </c>
      <c r="B14" s="184"/>
      <c r="C14" s="185" t="e">
        <f>SUM(C9:D13)</f>
        <v>#REF!</v>
      </c>
      <c r="D14" s="185"/>
    </row>
    <row r="15" spans="1:9" x14ac:dyDescent="0.25">
      <c r="C15" s="132"/>
      <c r="D15" s="132"/>
    </row>
    <row r="17" spans="1:7" ht="15.75" x14ac:dyDescent="0.25">
      <c r="A17" s="186" t="s">
        <v>87</v>
      </c>
      <c r="B17" s="186"/>
      <c r="C17" s="186"/>
      <c r="D17" s="186"/>
      <c r="E17" s="186"/>
      <c r="F17" s="186"/>
      <c r="G17" s="186"/>
    </row>
    <row r="18" spans="1:7" x14ac:dyDescent="0.25">
      <c r="A18" s="5" t="s">
        <v>88</v>
      </c>
      <c r="B18" s="5" t="s">
        <v>89</v>
      </c>
      <c r="C18" s="5" t="s">
        <v>90</v>
      </c>
      <c r="D18" s="5" t="s">
        <v>91</v>
      </c>
      <c r="E18" s="5" t="s">
        <v>92</v>
      </c>
      <c r="F18" s="179" t="s">
        <v>93</v>
      </c>
      <c r="G18" s="179"/>
    </row>
    <row r="19" spans="1:7" x14ac:dyDescent="0.25">
      <c r="A19" s="6" t="s">
        <v>94</v>
      </c>
      <c r="B19" s="7">
        <v>9.59</v>
      </c>
      <c r="C19" s="7">
        <v>80</v>
      </c>
      <c r="D19" s="7">
        <v>0.18</v>
      </c>
      <c r="E19" s="5" t="e">
        <f>IF(#REF!&gt;80,#REF!,0)</f>
        <v>#REF!</v>
      </c>
      <c r="F19" s="180" t="e">
        <f>IF(E19=0,0,HOME!E22*D19*(E19-80)+(HOME!E22*B19))</f>
        <v>#REF!</v>
      </c>
      <c r="G19" s="180"/>
    </row>
    <row r="20" spans="1:7" x14ac:dyDescent="0.25">
      <c r="A20" s="6" t="s">
        <v>95</v>
      </c>
      <c r="B20" s="7">
        <v>9.59</v>
      </c>
      <c r="C20" s="7">
        <v>0</v>
      </c>
      <c r="D20" s="7">
        <v>0</v>
      </c>
      <c r="E20" s="5" t="e">
        <f>IF(#REF!&lt;=80,#REF!,"")</f>
        <v>#REF!</v>
      </c>
      <c r="F20" s="180" t="e">
        <f>IF(E20=0,0,IF(E20&gt;80,"",B20*HOME!E22))</f>
        <v>#REF!</v>
      </c>
      <c r="G20" s="180"/>
    </row>
    <row r="21" spans="1:7" x14ac:dyDescent="0.25">
      <c r="A21" s="6"/>
      <c r="B21" s="7"/>
      <c r="C21" s="7"/>
      <c r="D21" s="175" t="s">
        <v>0</v>
      </c>
      <c r="E21" s="175"/>
      <c r="F21" s="180" t="e">
        <f>SUM(F19:F20)</f>
        <v>#REF!</v>
      </c>
      <c r="G21" s="180"/>
    </row>
    <row r="22" spans="1:7" ht="15.75" x14ac:dyDescent="0.25">
      <c r="A22" s="183" t="s">
        <v>96</v>
      </c>
      <c r="B22" s="183"/>
      <c r="C22" s="183"/>
      <c r="D22" s="183"/>
      <c r="E22" s="183"/>
      <c r="F22" s="183"/>
      <c r="G22" s="183"/>
    </row>
    <row r="23" spans="1:7" x14ac:dyDescent="0.25">
      <c r="A23" s="5" t="s">
        <v>88</v>
      </c>
      <c r="B23" s="5" t="s">
        <v>89</v>
      </c>
      <c r="C23" s="5" t="s">
        <v>90</v>
      </c>
      <c r="D23" s="5" t="s">
        <v>91</v>
      </c>
      <c r="E23" s="5" t="s">
        <v>92</v>
      </c>
      <c r="F23" s="179" t="s">
        <v>93</v>
      </c>
      <c r="G23" s="179"/>
    </row>
    <row r="24" spans="1:7" x14ac:dyDescent="0.25">
      <c r="A24" s="6" t="s">
        <v>97</v>
      </c>
      <c r="B24" s="7">
        <v>5.99</v>
      </c>
      <c r="C24" s="7">
        <v>12</v>
      </c>
      <c r="D24" s="7">
        <v>0.5</v>
      </c>
      <c r="E24" s="5" t="e">
        <f>IF(#REF!&lt;=12,0,#REF!)</f>
        <v>#REF!</v>
      </c>
      <c r="F24" s="180" t="e">
        <f>IF(E24&lt;12,0,HOME!E22*D24*(E24-12)+(HOME!E22*B24))</f>
        <v>#REF!</v>
      </c>
      <c r="G24" s="180"/>
    </row>
    <row r="25" spans="1:7" x14ac:dyDescent="0.25">
      <c r="A25" s="6" t="s">
        <v>98</v>
      </c>
      <c r="B25" s="7">
        <v>5.99</v>
      </c>
      <c r="C25" s="7">
        <v>0</v>
      </c>
      <c r="D25" s="7">
        <v>0</v>
      </c>
      <c r="E25" s="5" t="e">
        <f>IF(#REF!&gt;12,"",#REF!)</f>
        <v>#REF!</v>
      </c>
      <c r="F25" s="180" t="e">
        <f>IF(E25=0,0,IF(E25&lt;=12,B25*HOME!E22,0))</f>
        <v>#REF!</v>
      </c>
      <c r="G25" s="180"/>
    </row>
    <row r="26" spans="1:7" x14ac:dyDescent="0.25">
      <c r="A26" s="6"/>
      <c r="B26" s="7"/>
      <c r="C26" s="7"/>
      <c r="D26" s="175" t="s">
        <v>0</v>
      </c>
      <c r="E26" s="175"/>
      <c r="F26" s="180" t="e">
        <f>SUM(F24:F25)</f>
        <v>#REF!</v>
      </c>
      <c r="G26" s="180"/>
    </row>
    <row r="27" spans="1:7" ht="15.75" x14ac:dyDescent="0.25">
      <c r="A27" s="178" t="s">
        <v>99</v>
      </c>
      <c r="B27" s="178"/>
      <c r="C27" s="178"/>
      <c r="D27" s="178"/>
      <c r="E27" s="178"/>
      <c r="F27" s="178"/>
      <c r="G27" s="178"/>
    </row>
    <row r="28" spans="1:7" x14ac:dyDescent="0.25">
      <c r="A28" s="5" t="s">
        <v>88</v>
      </c>
      <c r="B28" s="5" t="s">
        <v>89</v>
      </c>
      <c r="C28" s="5" t="s">
        <v>90</v>
      </c>
      <c r="D28" s="5" t="s">
        <v>91</v>
      </c>
      <c r="E28" s="5" t="s">
        <v>92</v>
      </c>
      <c r="F28" s="179" t="s">
        <v>93</v>
      </c>
      <c r="G28" s="179"/>
    </row>
    <row r="29" spans="1:7" x14ac:dyDescent="0.25">
      <c r="A29" s="6" t="s">
        <v>100</v>
      </c>
      <c r="B29" s="7">
        <v>5.99</v>
      </c>
      <c r="C29" s="7">
        <v>80</v>
      </c>
      <c r="D29" s="7">
        <v>0.12</v>
      </c>
      <c r="E29" s="8" t="e">
        <f>IF(#REF!&gt;80,#REF!,0)</f>
        <v>#REF!</v>
      </c>
      <c r="F29" s="180" t="e">
        <f>IF(E29=0,0,HOME!E22*D29*(E29-80)+(HOME!E22*B29))</f>
        <v>#REF!</v>
      </c>
      <c r="G29" s="180"/>
    </row>
    <row r="30" spans="1:7" x14ac:dyDescent="0.25">
      <c r="A30" s="6" t="s">
        <v>101</v>
      </c>
      <c r="B30" s="7">
        <v>5.99</v>
      </c>
      <c r="C30" s="7">
        <v>0</v>
      </c>
      <c r="D30" s="7">
        <v>0</v>
      </c>
      <c r="E30" s="8" t="e">
        <f>IF(#REF!&lt;=80,#REF!,"")</f>
        <v>#REF!</v>
      </c>
      <c r="F30" s="180" t="e">
        <f>IF(E30=0,0,IF(E30&gt;80,"",B30*HOME!E22))</f>
        <v>#REF!</v>
      </c>
      <c r="G30" s="180"/>
    </row>
    <row r="31" spans="1:7" x14ac:dyDescent="0.25">
      <c r="A31" s="6"/>
      <c r="B31" s="6"/>
      <c r="C31" s="6"/>
      <c r="D31" s="175" t="s">
        <v>0</v>
      </c>
      <c r="E31" s="175"/>
      <c r="F31" s="181" t="e">
        <f>SUM(F29:F30)</f>
        <v>#REF!</v>
      </c>
      <c r="G31" s="181"/>
    </row>
    <row r="32" spans="1:7" ht="15.75" x14ac:dyDescent="0.25">
      <c r="A32" s="182" t="s">
        <v>82</v>
      </c>
      <c r="B32" s="182"/>
      <c r="C32" s="182"/>
      <c r="D32" s="182"/>
      <c r="E32" s="182"/>
      <c r="F32" s="182"/>
      <c r="G32" s="182"/>
    </row>
    <row r="33" spans="1:7" ht="15.75" x14ac:dyDescent="0.25">
      <c r="A33" s="11"/>
      <c r="B33" s="11"/>
      <c r="C33" s="11"/>
      <c r="D33" s="11"/>
      <c r="E33" s="12"/>
      <c r="F33" s="168"/>
      <c r="G33" s="169"/>
    </row>
    <row r="34" spans="1:7" x14ac:dyDescent="0.25">
      <c r="A34" s="6" t="s">
        <v>103</v>
      </c>
      <c r="B34" s="6" t="s">
        <v>106</v>
      </c>
      <c r="C34" s="9">
        <v>0.3</v>
      </c>
      <c r="D34" s="10">
        <f>HOME!E20*C34</f>
        <v>0</v>
      </c>
      <c r="E34" s="13">
        <f>IF(SUM($A$8:$K$8)&lt;=13,SUM($A$8:$K$8),0)</f>
        <v>0</v>
      </c>
      <c r="F34" s="180">
        <f>IF(E34&gt;0,#REF!*D34*0.02,0)</f>
        <v>0</v>
      </c>
      <c r="G34" s="180"/>
    </row>
    <row r="35" spans="1:7" x14ac:dyDescent="0.25">
      <c r="A35" s="6" t="s">
        <v>110</v>
      </c>
      <c r="B35" s="6" t="s">
        <v>107</v>
      </c>
      <c r="C35" s="9">
        <v>0.4</v>
      </c>
      <c r="D35" s="10">
        <f>HOME!E20*C35</f>
        <v>0</v>
      </c>
      <c r="E35" s="13">
        <f>IF(SUM($A$8:$K$8)&gt;13,SUM($A$8:$K$8),0)</f>
        <v>0</v>
      </c>
      <c r="F35" s="180">
        <f>IF(E35&gt;0,#REF!*D35*0.02,0)</f>
        <v>0</v>
      </c>
      <c r="G35" s="180"/>
    </row>
    <row r="36" spans="1:7" x14ac:dyDescent="0.25">
      <c r="D36" s="175" t="s">
        <v>109</v>
      </c>
      <c r="E36" s="175"/>
      <c r="F36" s="176">
        <f>SUM(F34:G35)</f>
        <v>0</v>
      </c>
      <c r="G36" s="177"/>
    </row>
  </sheetData>
  <sheetProtection selectLockedCells="1"/>
  <mergeCells count="37">
    <mergeCell ref="A9:B9"/>
    <mergeCell ref="C9:D9"/>
    <mergeCell ref="A10:B10"/>
    <mergeCell ref="C10:D10"/>
    <mergeCell ref="A11:B11"/>
    <mergeCell ref="C11:D11"/>
    <mergeCell ref="D21:E21"/>
    <mergeCell ref="F21:G21"/>
    <mergeCell ref="A12:B12"/>
    <mergeCell ref="C12:D12"/>
    <mergeCell ref="A13:B13"/>
    <mergeCell ref="C13:D13"/>
    <mergeCell ref="A14:B14"/>
    <mergeCell ref="C14:D14"/>
    <mergeCell ref="C15:D15"/>
    <mergeCell ref="A17:G17"/>
    <mergeCell ref="F18:G18"/>
    <mergeCell ref="F19:G19"/>
    <mergeCell ref="F20:G20"/>
    <mergeCell ref="A22:G22"/>
    <mergeCell ref="F23:G23"/>
    <mergeCell ref="F24:G24"/>
    <mergeCell ref="F25:G25"/>
    <mergeCell ref="D26:E26"/>
    <mergeCell ref="F26:G26"/>
    <mergeCell ref="A27:G27"/>
    <mergeCell ref="F28:G28"/>
    <mergeCell ref="F29:G29"/>
    <mergeCell ref="F30:G30"/>
    <mergeCell ref="D31:E31"/>
    <mergeCell ref="F31:G31"/>
    <mergeCell ref="A32:G32"/>
    <mergeCell ref="F33:G33"/>
    <mergeCell ref="F34:G34"/>
    <mergeCell ref="F35:G35"/>
    <mergeCell ref="D36:E36"/>
    <mergeCell ref="F36:G36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rgb="FFFFC000"/>
  </sheetPr>
  <dimension ref="A1:X30"/>
  <sheetViews>
    <sheetView zoomScale="10" zoomScaleNormal="10" workbookViewId="0">
      <selection activeCell="BF51" sqref="BF51"/>
    </sheetView>
  </sheetViews>
  <sheetFormatPr defaultRowHeight="15" x14ac:dyDescent="0.25"/>
  <cols>
    <col min="1" max="1" width="22.7109375" bestFit="1" customWidth="1"/>
    <col min="2" max="2" width="9.85546875" bestFit="1" customWidth="1"/>
    <col min="3" max="3" width="27" bestFit="1" customWidth="1"/>
    <col min="4" max="4" width="20.5703125" bestFit="1" customWidth="1"/>
    <col min="5" max="5" width="13.5703125" bestFit="1" customWidth="1"/>
    <col min="6" max="6" width="1.85546875" customWidth="1"/>
    <col min="7" max="7" width="28.28515625" bestFit="1" customWidth="1"/>
    <col min="8" max="8" width="30" bestFit="1" customWidth="1"/>
    <col min="9" max="9" width="1.85546875" customWidth="1"/>
    <col min="10" max="10" width="28.85546875" bestFit="1" customWidth="1"/>
    <col min="11" max="11" width="1.85546875" customWidth="1"/>
    <col min="12" max="12" width="12.42578125" bestFit="1" customWidth="1"/>
    <col min="13" max="13" width="1.85546875" customWidth="1"/>
    <col min="14" max="14" width="37" bestFit="1" customWidth="1"/>
    <col min="15" max="15" width="1.85546875" customWidth="1"/>
    <col min="16" max="16" width="35.5703125" bestFit="1" customWidth="1"/>
    <col min="17" max="17" width="1.85546875" customWidth="1"/>
    <col min="18" max="18" width="17.85546875" bestFit="1" customWidth="1"/>
    <col min="19" max="19" width="1.85546875" customWidth="1"/>
    <col min="20" max="20" width="30.42578125" bestFit="1" customWidth="1"/>
    <col min="21" max="21" width="1.85546875" customWidth="1"/>
    <col min="22" max="22" width="30.42578125" bestFit="1" customWidth="1"/>
    <col min="23" max="23" width="1.85546875" customWidth="1"/>
    <col min="24" max="24" width="44.42578125" bestFit="1" customWidth="1"/>
  </cols>
  <sheetData>
    <row r="1" spans="1:24" x14ac:dyDescent="0.25">
      <c r="A1" s="1" t="s">
        <v>4</v>
      </c>
      <c r="C1" s="1" t="s">
        <v>5</v>
      </c>
      <c r="E1" s="1" t="s">
        <v>6</v>
      </c>
      <c r="G1" s="147" t="s">
        <v>7</v>
      </c>
      <c r="H1" s="147"/>
      <c r="J1" s="1" t="s">
        <v>37</v>
      </c>
      <c r="L1" s="1" t="s">
        <v>8</v>
      </c>
      <c r="N1" s="1" t="s">
        <v>9</v>
      </c>
      <c r="P1" s="1" t="s">
        <v>10</v>
      </c>
      <c r="R1" s="1" t="s">
        <v>11</v>
      </c>
      <c r="T1" s="1" t="s">
        <v>12</v>
      </c>
      <c r="V1" s="1" t="s">
        <v>13</v>
      </c>
      <c r="X1" s="1" t="s">
        <v>119</v>
      </c>
    </row>
    <row r="2" spans="1:24" x14ac:dyDescent="0.25">
      <c r="A2" s="1" t="s">
        <v>3</v>
      </c>
      <c r="C2" s="1" t="s">
        <v>192</v>
      </c>
      <c r="E2" s="1" t="s">
        <v>193</v>
      </c>
      <c r="G2" s="1" t="s">
        <v>33</v>
      </c>
      <c r="H2" s="1" t="s">
        <v>27</v>
      </c>
      <c r="J2" s="1" t="s">
        <v>191</v>
      </c>
      <c r="L2" s="1" t="s">
        <v>194</v>
      </c>
      <c r="N2" s="1" t="s">
        <v>190</v>
      </c>
      <c r="P2" s="1" t="s">
        <v>28</v>
      </c>
      <c r="R2" s="1" t="s">
        <v>29</v>
      </c>
      <c r="T2" s="1" t="s">
        <v>199</v>
      </c>
      <c r="V2" s="1" t="s">
        <v>30</v>
      </c>
      <c r="X2" s="1" t="s">
        <v>120</v>
      </c>
    </row>
    <row r="3" spans="1:24" x14ac:dyDescent="0.25">
      <c r="A3" s="1" t="s">
        <v>2</v>
      </c>
      <c r="C3" s="1" t="s">
        <v>2</v>
      </c>
      <c r="E3" s="1" t="s">
        <v>17</v>
      </c>
      <c r="G3" s="1" t="s">
        <v>32</v>
      </c>
      <c r="H3" s="1" t="s">
        <v>35</v>
      </c>
      <c r="J3" s="1" t="s">
        <v>21</v>
      </c>
      <c r="L3" s="1" t="s">
        <v>22</v>
      </c>
      <c r="N3" s="1" t="s">
        <v>23</v>
      </c>
      <c r="P3" s="1" t="s">
        <v>24</v>
      </c>
      <c r="R3" s="1" t="s">
        <v>25</v>
      </c>
      <c r="T3" s="1" t="s">
        <v>26</v>
      </c>
      <c r="V3" s="1" t="s">
        <v>39</v>
      </c>
      <c r="X3" s="1" t="s">
        <v>121</v>
      </c>
    </row>
    <row r="4" spans="1:24" x14ac:dyDescent="0.25">
      <c r="A4" s="1" t="s">
        <v>1</v>
      </c>
      <c r="C4" s="1" t="s">
        <v>14</v>
      </c>
      <c r="E4" s="1" t="s">
        <v>15</v>
      </c>
      <c r="G4" s="1" t="s">
        <v>31</v>
      </c>
      <c r="H4" s="1" t="s">
        <v>34</v>
      </c>
      <c r="J4" s="1" t="s">
        <v>36</v>
      </c>
      <c r="L4" s="1" t="s">
        <v>17</v>
      </c>
      <c r="N4" s="1" t="s">
        <v>16</v>
      </c>
      <c r="P4" s="1" t="s">
        <v>189</v>
      </c>
      <c r="R4" s="1" t="s">
        <v>195</v>
      </c>
      <c r="T4" s="1" t="s">
        <v>20</v>
      </c>
      <c r="V4" s="1" t="s">
        <v>38</v>
      </c>
      <c r="X4" s="1" t="s">
        <v>196</v>
      </c>
    </row>
    <row r="5" spans="1:24" x14ac:dyDescent="0.25">
      <c r="A5" s="1"/>
      <c r="C5" s="1"/>
      <c r="E5" s="1"/>
      <c r="G5" s="2"/>
      <c r="H5" s="2"/>
      <c r="J5" s="1"/>
      <c r="L5" s="1"/>
      <c r="N5" s="1"/>
      <c r="P5" s="1"/>
      <c r="R5" s="1"/>
      <c r="T5" s="1"/>
      <c r="V5" s="1"/>
      <c r="X5" s="1"/>
    </row>
    <row r="6" spans="1:24" s="3" customFormat="1" ht="15.75" customHeight="1" x14ac:dyDescent="0.25">
      <c r="A6" s="4">
        <v>4</v>
      </c>
      <c r="B6" s="4"/>
      <c r="C6" s="4">
        <v>4</v>
      </c>
      <c r="D6" s="4"/>
      <c r="E6" s="4">
        <v>4</v>
      </c>
      <c r="F6" s="4"/>
      <c r="G6" s="4">
        <v>4</v>
      </c>
      <c r="H6" s="4">
        <v>4</v>
      </c>
      <c r="I6" s="4"/>
      <c r="J6" s="4">
        <v>4</v>
      </c>
      <c r="K6" s="4"/>
      <c r="L6" s="4">
        <v>4</v>
      </c>
      <c r="M6" s="4"/>
      <c r="N6" s="4">
        <v>4</v>
      </c>
      <c r="O6" s="4"/>
      <c r="P6" s="4">
        <v>4</v>
      </c>
      <c r="Q6" s="4"/>
      <c r="R6" s="4">
        <v>4</v>
      </c>
      <c r="S6" s="4"/>
      <c r="T6" s="4">
        <v>4</v>
      </c>
      <c r="U6" s="4"/>
      <c r="V6" s="4">
        <v>4</v>
      </c>
      <c r="W6" s="4"/>
      <c r="X6" s="4">
        <v>4</v>
      </c>
    </row>
    <row r="8" spans="1:24" x14ac:dyDescent="0.25">
      <c r="A8" t="str">
        <f>IF(A6=4,"",IF(A6=3,3,IF(A6=2,2,IF(A6=1,1))))</f>
        <v/>
      </c>
      <c r="C8" t="str">
        <f>IF(C6=4,"",IF(C6=3,3,IF(C6=2,2,IF(C6=1,1))))</f>
        <v/>
      </c>
      <c r="E8" t="str">
        <f t="shared" ref="E8:X8" si="0">IF(E6=4,"",IF(E6=3,3,IF(E6=2,2,IF(E6=1,1))))</f>
        <v/>
      </c>
      <c r="G8" t="str">
        <f t="shared" si="0"/>
        <v/>
      </c>
      <c r="H8" t="str">
        <f t="shared" si="0"/>
        <v/>
      </c>
      <c r="J8" t="str">
        <f t="shared" si="0"/>
        <v/>
      </c>
      <c r="L8" t="str">
        <f t="shared" si="0"/>
        <v/>
      </c>
      <c r="N8" t="str">
        <f t="shared" si="0"/>
        <v/>
      </c>
      <c r="P8" t="str">
        <f t="shared" si="0"/>
        <v/>
      </c>
      <c r="R8" t="str">
        <f t="shared" si="0"/>
        <v/>
      </c>
      <c r="T8" t="str">
        <f t="shared" si="0"/>
        <v/>
      </c>
      <c r="V8" t="str">
        <f t="shared" si="0"/>
        <v/>
      </c>
      <c r="X8" t="str">
        <f t="shared" si="0"/>
        <v/>
      </c>
    </row>
    <row r="10" spans="1:24" ht="15.75" x14ac:dyDescent="0.25">
      <c r="A10" s="186" t="s">
        <v>87</v>
      </c>
      <c r="B10" s="186"/>
      <c r="C10" s="186"/>
      <c r="D10" s="186"/>
      <c r="E10" s="186"/>
      <c r="F10" s="186"/>
      <c r="G10" s="186"/>
    </row>
    <row r="11" spans="1:24" x14ac:dyDescent="0.25">
      <c r="A11" s="5" t="s">
        <v>88</v>
      </c>
      <c r="B11" s="5" t="s">
        <v>89</v>
      </c>
      <c r="C11" s="5" t="s">
        <v>90</v>
      </c>
      <c r="D11" s="5" t="s">
        <v>91</v>
      </c>
      <c r="E11" s="5" t="s">
        <v>92</v>
      </c>
      <c r="F11" s="179" t="s">
        <v>93</v>
      </c>
      <c r="G11" s="179"/>
    </row>
    <row r="12" spans="1:24" x14ac:dyDescent="0.25">
      <c r="A12" s="6" t="s">
        <v>94</v>
      </c>
      <c r="B12" s="7">
        <v>9.59</v>
      </c>
      <c r="C12" s="7">
        <v>80</v>
      </c>
      <c r="D12" s="7">
        <v>0.18</v>
      </c>
      <c r="E12" s="5">
        <f>IF(Memorial!C8&gt;80,Memorial!C8,0)</f>
        <v>0</v>
      </c>
      <c r="F12" s="180">
        <f>IF(E12=0,0,HOME!E22*'Calc. Resid.'!D12*(E12-80)+(HOME!E22*B12))</f>
        <v>0</v>
      </c>
      <c r="G12" s="180"/>
    </row>
    <row r="13" spans="1:24" x14ac:dyDescent="0.25">
      <c r="A13" s="6" t="s">
        <v>95</v>
      </c>
      <c r="B13" s="7">
        <v>9.59</v>
      </c>
      <c r="C13" s="7">
        <v>0</v>
      </c>
      <c r="D13" s="7">
        <v>0</v>
      </c>
      <c r="E13" s="5">
        <f>IF(Memorial!C8&lt;=80,Memorial!C8,"")</f>
        <v>0</v>
      </c>
      <c r="F13" s="180">
        <f>IF(E13=0,0,IF(E13&gt;80,"",B13*HOME!E22))</f>
        <v>0</v>
      </c>
      <c r="G13" s="180"/>
    </row>
    <row r="14" spans="1:24" x14ac:dyDescent="0.25">
      <c r="A14" s="6"/>
      <c r="B14" s="7"/>
      <c r="C14" s="7"/>
      <c r="D14" s="175" t="s">
        <v>0</v>
      </c>
      <c r="E14" s="175"/>
      <c r="F14" s="180">
        <f>SUM(F12:F13)</f>
        <v>0</v>
      </c>
      <c r="G14" s="180"/>
    </row>
    <row r="15" spans="1:24" ht="15.75" x14ac:dyDescent="0.25">
      <c r="A15" s="183" t="s">
        <v>96</v>
      </c>
      <c r="B15" s="183"/>
      <c r="C15" s="183"/>
      <c r="D15" s="183"/>
      <c r="E15" s="183"/>
      <c r="F15" s="183"/>
      <c r="G15" s="183"/>
    </row>
    <row r="16" spans="1:24" x14ac:dyDescent="0.25">
      <c r="A16" s="5" t="s">
        <v>88</v>
      </c>
      <c r="B16" s="5" t="s">
        <v>89</v>
      </c>
      <c r="C16" s="5" t="s">
        <v>90</v>
      </c>
      <c r="D16" s="5" t="s">
        <v>91</v>
      </c>
      <c r="E16" s="5" t="s">
        <v>92</v>
      </c>
      <c r="F16" s="179" t="s">
        <v>93</v>
      </c>
      <c r="G16" s="179"/>
    </row>
    <row r="17" spans="1:12" x14ac:dyDescent="0.25">
      <c r="A17" s="6" t="s">
        <v>97</v>
      </c>
      <c r="B17" s="7">
        <v>5.99</v>
      </c>
      <c r="C17" s="7">
        <v>12</v>
      </c>
      <c r="D17" s="7">
        <v>0.5</v>
      </c>
      <c r="E17" s="5">
        <f>IF(Memorial!D5&lt;=12,0,Memorial!D5)</f>
        <v>0</v>
      </c>
      <c r="F17" s="180">
        <f>IF(E17&lt;12,0,HOME!E22*D17*(E17-12)+(HOME!E22*B17))</f>
        <v>0</v>
      </c>
      <c r="G17" s="180"/>
    </row>
    <row r="18" spans="1:12" x14ac:dyDescent="0.25">
      <c r="A18" s="6" t="s">
        <v>98</v>
      </c>
      <c r="B18" s="7">
        <v>5.99</v>
      </c>
      <c r="C18" s="7">
        <v>0</v>
      </c>
      <c r="D18" s="7">
        <v>0</v>
      </c>
      <c r="E18" s="5">
        <f>IF(Memorial!D5,"",Memorial!D5)</f>
        <v>0</v>
      </c>
      <c r="F18" s="180">
        <f>IF(E18=0,0,IF(E18&lt;=12,B18*HOME!E22,0))</f>
        <v>0</v>
      </c>
      <c r="G18" s="180"/>
      <c r="L18" t="s">
        <v>102</v>
      </c>
    </row>
    <row r="19" spans="1:12" x14ac:dyDescent="0.25">
      <c r="A19" s="6"/>
      <c r="B19" s="7"/>
      <c r="C19" s="7"/>
      <c r="D19" s="175" t="s">
        <v>0</v>
      </c>
      <c r="E19" s="175"/>
      <c r="F19" s="180">
        <f>SUM(F17:F18)</f>
        <v>0</v>
      </c>
      <c r="G19" s="180"/>
    </row>
    <row r="20" spans="1:12" ht="15.75" x14ac:dyDescent="0.25">
      <c r="A20" s="178" t="s">
        <v>99</v>
      </c>
      <c r="B20" s="178"/>
      <c r="C20" s="178"/>
      <c r="D20" s="178"/>
      <c r="E20" s="178"/>
      <c r="F20" s="178"/>
      <c r="G20" s="178"/>
    </row>
    <row r="21" spans="1:12" x14ac:dyDescent="0.25">
      <c r="A21" s="5" t="s">
        <v>88</v>
      </c>
      <c r="B21" s="5" t="s">
        <v>89</v>
      </c>
      <c r="C21" s="5" t="s">
        <v>90</v>
      </c>
      <c r="D21" s="5" t="s">
        <v>91</v>
      </c>
      <c r="E21" s="5" t="s">
        <v>92</v>
      </c>
      <c r="F21" s="179" t="s">
        <v>93</v>
      </c>
      <c r="G21" s="179"/>
    </row>
    <row r="22" spans="1:12" x14ac:dyDescent="0.25">
      <c r="A22" s="6" t="s">
        <v>100</v>
      </c>
      <c r="B22" s="7">
        <v>5.99</v>
      </c>
      <c r="C22" s="7">
        <v>80</v>
      </c>
      <c r="D22" s="7">
        <v>0.12</v>
      </c>
      <c r="E22" s="8">
        <f>IF(Memorial!C8&gt;80,Memorial!C8,0)</f>
        <v>0</v>
      </c>
      <c r="F22" s="180">
        <f>IF(E22=0,0,HOME!E22*D22*(E22-80)+(HOME!E22*B22))</f>
        <v>0</v>
      </c>
      <c r="G22" s="180"/>
    </row>
    <row r="23" spans="1:12" x14ac:dyDescent="0.25">
      <c r="A23" s="6" t="s">
        <v>101</v>
      </c>
      <c r="B23" s="7">
        <v>5.99</v>
      </c>
      <c r="C23" s="7">
        <v>0</v>
      </c>
      <c r="D23" s="7">
        <v>0</v>
      </c>
      <c r="E23" s="8">
        <f>IF(Memorial!C8&lt;=80,Memorial!C8,"")</f>
        <v>0</v>
      </c>
      <c r="F23" s="180">
        <f>IF(E23=0,0,IF(E23&gt;80,0,B23*HOME!E22))</f>
        <v>0</v>
      </c>
      <c r="G23" s="180"/>
    </row>
    <row r="24" spans="1:12" x14ac:dyDescent="0.25">
      <c r="A24" s="6"/>
      <c r="B24" s="6"/>
      <c r="C24" s="6"/>
      <c r="D24" s="175" t="s">
        <v>0</v>
      </c>
      <c r="E24" s="175"/>
      <c r="F24" s="181">
        <f>SUM(F22:F23)</f>
        <v>0</v>
      </c>
      <c r="G24" s="181"/>
    </row>
    <row r="25" spans="1:12" ht="15" customHeight="1" x14ac:dyDescent="0.25">
      <c r="A25" s="182" t="s">
        <v>82</v>
      </c>
      <c r="B25" s="182"/>
      <c r="C25" s="182"/>
      <c r="D25" s="182"/>
      <c r="E25" s="182"/>
      <c r="F25" s="182"/>
      <c r="G25" s="182"/>
    </row>
    <row r="26" spans="1:12" ht="15" customHeight="1" x14ac:dyDescent="0.25">
      <c r="A26" s="11"/>
      <c r="B26" s="11"/>
      <c r="C26" s="11"/>
      <c r="D26" s="11"/>
      <c r="E26" s="12"/>
      <c r="F26" s="168"/>
      <c r="G26" s="169"/>
    </row>
    <row r="27" spans="1:12" x14ac:dyDescent="0.25">
      <c r="A27" s="6" t="s">
        <v>103</v>
      </c>
      <c r="B27" s="6" t="s">
        <v>115</v>
      </c>
      <c r="C27" s="9">
        <v>0.2</v>
      </c>
      <c r="D27" s="10">
        <f>HOME!E14*C27</f>
        <v>0</v>
      </c>
      <c r="E27" s="13" t="str">
        <f>IF(SUM(A8:X8)&lt;=19,CONCATENATE(SUM(A8:X8)," pontos"),0)</f>
        <v>0 pontos</v>
      </c>
      <c r="F27" s="180">
        <f>IF(E27&gt;0,Memorial!C8*D27*0.02,0)</f>
        <v>0</v>
      </c>
      <c r="G27" s="180"/>
    </row>
    <row r="28" spans="1:12" x14ac:dyDescent="0.25">
      <c r="A28" s="6" t="s">
        <v>105</v>
      </c>
      <c r="B28" s="6" t="s">
        <v>107</v>
      </c>
      <c r="C28" s="9">
        <v>0.18</v>
      </c>
      <c r="D28" s="10">
        <f>HOME!E15*C28</f>
        <v>0</v>
      </c>
      <c r="E28" s="13">
        <f>IF(AND(SUM(A8:X8)&gt;19,SUM(A8:X8)&lt;=32),CONCATENATE(SUM(A8:X8)," pontos"),0)</f>
        <v>0</v>
      </c>
      <c r="F28" s="180">
        <f>IF(E28&gt;0,Memorial!C8*D28*0.02,0)</f>
        <v>0</v>
      </c>
      <c r="G28" s="180"/>
    </row>
    <row r="29" spans="1:12" x14ac:dyDescent="0.25">
      <c r="A29" s="6" t="s">
        <v>104</v>
      </c>
      <c r="B29" s="6" t="s">
        <v>108</v>
      </c>
      <c r="C29" s="9">
        <v>0.2</v>
      </c>
      <c r="D29" s="10">
        <f>HOME!E16*C29</f>
        <v>0</v>
      </c>
      <c r="E29" s="13">
        <f>IF(SUM(A8:X8)&gt;32,CONCATENATE(SUM(A8:X8)," pontos"),0)</f>
        <v>0</v>
      </c>
      <c r="F29" s="180">
        <f>IF(E29&gt;0,Memorial!C8*D29*0.02,0)</f>
        <v>0</v>
      </c>
      <c r="G29" s="180"/>
    </row>
    <row r="30" spans="1:12" x14ac:dyDescent="0.25">
      <c r="D30" s="175" t="s">
        <v>109</v>
      </c>
      <c r="E30" s="175"/>
      <c r="F30" s="176">
        <f>SUM(F27:G29)</f>
        <v>0</v>
      </c>
      <c r="G30" s="177"/>
    </row>
  </sheetData>
  <sheetProtection selectLockedCells="1"/>
  <mergeCells count="26">
    <mergeCell ref="G1:H1"/>
    <mergeCell ref="F22:G22"/>
    <mergeCell ref="D14:E14"/>
    <mergeCell ref="D19:E19"/>
    <mergeCell ref="A10:G10"/>
    <mergeCell ref="A15:G15"/>
    <mergeCell ref="A20:G20"/>
    <mergeCell ref="F17:G17"/>
    <mergeCell ref="F18:G18"/>
    <mergeCell ref="F19:G19"/>
    <mergeCell ref="F16:G16"/>
    <mergeCell ref="F11:G11"/>
    <mergeCell ref="F12:G12"/>
    <mergeCell ref="F13:G13"/>
    <mergeCell ref="F14:G14"/>
    <mergeCell ref="F21:G21"/>
    <mergeCell ref="D30:E30"/>
    <mergeCell ref="F30:G30"/>
    <mergeCell ref="F28:G28"/>
    <mergeCell ref="F29:G29"/>
    <mergeCell ref="F23:G23"/>
    <mergeCell ref="F24:G24"/>
    <mergeCell ref="A25:G25"/>
    <mergeCell ref="F27:G27"/>
    <mergeCell ref="F26:G26"/>
    <mergeCell ref="D24:E24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HOME</vt:lpstr>
      <vt:lpstr>Memorial</vt:lpstr>
      <vt:lpstr>Cálculos</vt:lpstr>
      <vt:lpstr>Calc. Com.</vt:lpstr>
      <vt:lpstr>Calc. Madeira</vt:lpstr>
      <vt:lpstr>Calc. Telheiro</vt:lpstr>
      <vt:lpstr>Calc. Pav.</vt:lpstr>
      <vt:lpstr>Calc. Resid.</vt:lpstr>
      <vt:lpstr>Memorial!Area_de_impressao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Misael Moraes Kruger</dc:creator>
  <cp:lastModifiedBy>Felipe Misael Moraes Kruger</cp:lastModifiedBy>
  <cp:lastPrinted>2025-02-13T16:19:47Z</cp:lastPrinted>
  <dcterms:created xsi:type="dcterms:W3CDTF">2018-01-30T16:06:46Z</dcterms:created>
  <dcterms:modified xsi:type="dcterms:W3CDTF">2025-02-14T12:33:48Z</dcterms:modified>
</cp:coreProperties>
</file>